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320" windowHeight="697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06" sheetId="12" r:id="rId12"/>
    <sheet name="07"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xlfn.COUNTIFS" hidden="1">#NAME?</definedName>
    <definedName name="_xlfn.SUMIFS" hidden="1">#NAME?</definedName>
    <definedName name="Nguyennhan">'[1]Nguyen_nhan'!$B$3:$B$16</definedName>
    <definedName name="_xlnm.Print_Area" localSheetId="12">'07'!$A$1:$T$71</definedName>
    <definedName name="_xlnm.Print_Area" localSheetId="1">'Mãu BC mien giam 8'!$A$1:$N$36</definedName>
    <definedName name="_xlnm.Print_Titles" localSheetId="11">'06'!$6:$10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<sst xmlns="http://schemas.openxmlformats.org/spreadsheetml/2006/main" count="1084" uniqueCount="481">
  <si>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</si>
  <si>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</si>
  <si>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</si>
  <si>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</si>
  <si>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</si>
  <si>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</si>
  <si>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</si>
  <si>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</si>
  <si>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</si>
  <si>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</si>
  <si>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</si>
  <si>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</si>
  <si>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</si>
  <si>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</si>
  <si>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</si>
  <si>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</si>
  <si>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</si>
  <si>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</si>
  <si>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</si>
  <si>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</si>
  <si>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</si>
  <si>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</si>
  <si>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</si>
  <si>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</si>
  <si>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</si>
  <si>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</si>
  <si>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</si>
  <si>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</si>
  <si>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</si>
  <si>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</si>
  <si>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</si>
  <si>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</si>
  <si>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</si>
  <si>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</si>
  <si>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</si>
  <si>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</si>
  <si>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</si>
  <si>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</si>
  <si>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</si>
  <si>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</si>
  <si>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</si>
  <si>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</si>
  <si>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</si>
  <si>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</si>
  <si>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</si>
  <si>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</si>
  <si>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</si>
  <si>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</si>
  <si>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</si>
  <si>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</si>
  <si>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</si>
  <si>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</si>
  <si>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</si>
  <si>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</si>
  <si>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</si>
  <si>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</si>
  <si>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</si>
  <si>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</si>
  <si>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</si>
  <si>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</si>
  <si>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</si>
  <si>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</si>
  <si>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</si>
  <si>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</si>
  <si>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</si>
  <si>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</si>
  <si>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</si>
  <si>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</si>
  <si>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</si>
  <si>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</si>
  <si>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</si>
  <si>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</si>
  <si>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</si>
  <si>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</si>
  <si>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</si>
  <si>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</si>
  <si>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</si>
  <si>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</si>
  <si>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</si>
  <si>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</si>
  <si>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</si>
  <si>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</si>
  <si>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</si>
  <si>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</si>
  <si>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</si>
  <si>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</si>
  <si>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</si>
  <si>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</si>
  <si>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</si>
  <si>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</si>
  <si>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</si>
  <si>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</si>
  <si>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</si>
  <si>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</si>
  <si>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</si>
  <si>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</si>
  <si>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</si>
  <si>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</si>
  <si>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</si>
  <si>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</si>
  <si>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</si>
  <si>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</si>
  <si>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</si>
  <si>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</si>
  <si>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</si>
  <si>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</si>
  <si>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</si>
  <si>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</si>
  <si>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</si>
  <si>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</si>
  <si>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</si>
  <si>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</si>
  <si>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</si>
  <si>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</si>
  <si>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</si>
  <si>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</si>
  <si>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</si>
  <si>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</si>
  <si>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</si>
  <si>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</si>
  <si>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</si>
  <si>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</si>
  <si>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</si>
  <si>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</si>
  <si>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</si>
  <si>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</si>
  <si>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</si>
  <si>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</si>
  <si>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</si>
  <si>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</si>
  <si>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</si>
  <si>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</si>
  <si>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</si>
  <si>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</si>
  <si>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</si>
  <si>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</si>
  <si>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</si>
  <si>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</si>
  <si>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</si>
  <si>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</si>
  <si>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</si>
  <si>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</si>
  <si>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</si>
  <si>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</si>
  <si>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</si>
  <si>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</si>
  <si>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</si>
  <si>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</si>
  <si>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</si>
  <si>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</si>
  <si>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</si>
  <si>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</si>
  <si>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</si>
  <si>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</si>
  <si>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</si>
  <si>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</si>
  <si>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</si>
  <si>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</si>
  <si>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</si>
  <si>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</si>
  <si>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</si>
  <si>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</si>
  <si>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</si>
  <si>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</si>
  <si>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</si>
  <si>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</si>
  <si>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</si>
  <si>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</si>
  <si>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</si>
  <si>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</si>
  <si>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</si>
  <si>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</si>
  <si>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</si>
  <si>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</si>
  <si>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</si>
  <si>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</si>
  <si>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</si>
  <si>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</si>
  <si>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</si>
  <si>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</si>
  <si>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</si>
  <si>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</si>
  <si>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</si>
  <si>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</si>
  <si>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</si>
  <si>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</si>
  <si>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</si>
  <si>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</si>
  <si>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</si>
  <si>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</si>
  <si>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</si>
  <si>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</si>
  <si>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</si>
  <si>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</si>
  <si>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</si>
  <si>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</si>
  <si>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</si>
  <si>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</si>
  <si>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</si>
  <si>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</si>
  <si>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</si>
  <si>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</si>
  <si>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</si>
  <si>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</si>
  <si>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</si>
  <si>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</si>
  <si>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</si>
  <si>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</si>
  <si>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</si>
  <si>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</si>
  <si>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</si>
  <si>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</si>
  <si>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</si>
  <si>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</si>
  <si>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</si>
  <si>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</si>
  <si>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</si>
  <si>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</si>
  <si>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</si>
  <si>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</si>
  <si>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</si>
  <si>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</si>
  <si>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</si>
  <si>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</si>
  <si>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</si>
  <si>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</si>
  <si>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</si>
  <si>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</si>
  <si>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</si>
  <si>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</si>
  <si>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</si>
  <si>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</si>
  <si>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</si>
  <si>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</si>
  <si>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</si>
  <si>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</si>
  <si>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</si>
  <si>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</si>
  <si>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</si>
  <si>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</si>
  <si>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</si>
  <si>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</si>
  <si>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</si>
  <si>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</si>
  <si>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</si>
  <si>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</si>
  <si>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</si>
  <si>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</si>
  <si>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</si>
  <si>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</si>
  <si>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</si>
  <si>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</si>
  <si>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</si>
  <si>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</si>
  <si>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</si>
  <si>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</si>
  <si>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</si>
  <si>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</si>
  <si>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</si>
  <si>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</si>
  <si>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</si>
  <si>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</si>
  <si>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</si>
  <si>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</si>
  <si>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</si>
  <si>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</si>
  <si>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</si>
  <si>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</si>
  <si>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</si>
  <si>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</si>
  <si>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</si>
  <si>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</si>
  <si>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</si>
  <si>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</si>
  <si>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</si>
  <si>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</si>
  <si>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</si>
  <si>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</si>
  <si>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</si>
  <si>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</si>
  <si>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</si>
  <si>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</si>
  <si>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</si>
  <si>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</si>
  <si>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</si>
  <si>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</si>
  <si>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</si>
  <si>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</si>
  <si>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</si>
  <si>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</si>
  <si>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</si>
  <si>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</si>
  <si>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</si>
  <si>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</si>
  <si>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</si>
  <si>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</si>
  <si>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</si>
  <si>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</si>
  <si>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</si>
  <si>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</si>
  <si>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</si>
  <si>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</si>
  <si>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</si>
  <si>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</si>
  <si>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</si>
  <si>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</si>
  <si>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</si>
  <si>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</si>
  <si>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</si>
  <si>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</si>
  <si>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</si>
  <si>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</si>
  <si>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</si>
  <si>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</si>
  <si>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</si>
  <si>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</si>
  <si>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</si>
  <si>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</si>
  <si>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</si>
  <si>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</si>
  <si>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</si>
  <si>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</si>
  <si>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</si>
  <si>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</si>
  <si>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</si>
  <si>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</si>
  <si>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</si>
  <si>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</si>
  <si>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</si>
  <si>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</si>
  <si>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</si>
  <si>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</si>
  <si>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</si>
  <si>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</si>
  <si>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</si>
  <si>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</si>
  <si>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</si>
  <si>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</si>
  <si>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</si>
  <si>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</si>
  <si>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</si>
  <si>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</si>
  <si>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</si>
  <si>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</si>
  <si>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</si>
  <si>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</si>
  <si>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</si>
  <si>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</si>
  <si>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</si>
  <si>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</si>
  <si>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</si>
  <si>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</si>
  <si>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</si>
  <si>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</si>
  <si>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</si>
  <si>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</si>
  <si>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</si>
  <si>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</si>
  <si>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</si>
  <si>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</si>
  <si>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</si>
  <si>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</si>
  <si>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</si>
  <si>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</si>
  <si>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</si>
  <si>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</si>
  <si>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</si>
  <si>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</si>
  <si>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</si>
  <si>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</si>
  <si>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</si>
  <si>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</si>
  <si>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</si>
  <si>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</si>
  <si>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</si>
  <si>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</si>
  <si>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</si>
  <si>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</si>
  <si>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</si>
  <si>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</si>
  <si>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</si>
  <si>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</si>
  <si>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</si>
  <si>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</si>
  <si>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</si>
  <si>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</si>
  <si>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</si>
  <si>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</si>
  <si>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</si>
  <si>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</si>
  <si>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</si>
  <si>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</si>
  <si>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</si>
  <si>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</si>
  <si>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</si>
  <si>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</si>
  <si>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</si>
  <si>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</si>
  <si>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</si>
  <si>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</si>
  <si>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</si>
  <si>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</si>
  <si>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</si>
  <si>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</si>
  <si>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</si>
  <si>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</si>
  <si>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</si>
  <si>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</si>
  <si>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</si>
  <si>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</si>
  <si>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</si>
  <si>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</si>
  <si>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</si>
  <si>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Trần Kim Sơn</t>
  </si>
  <si>
    <t>Nguyễn Ngọc Đắc</t>
  </si>
  <si>
    <t>Hoàng Quang Hà</t>
  </si>
  <si>
    <t>Ứng Anh Tuấn</t>
  </si>
  <si>
    <t>Phạm Thị Linh Điệp</t>
  </si>
  <si>
    <t>Triệu Thu Hằng</t>
  </si>
  <si>
    <t>Nguyễn Tuyên</t>
  </si>
  <si>
    <t>Hoàng Anh Tuấn</t>
  </si>
  <si>
    <t>Phan Thị Mai Thảo</t>
  </si>
  <si>
    <t xml:space="preserve">Hoàng Quang Hà </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</si>
  <si>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</si>
  <si>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</si>
  <si>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</si>
  <si>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</si>
  <si>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</si>
  <si>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</si>
  <si>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</si>
  <si>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</si>
  <si>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</si>
  <si>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</si>
  <si>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</si>
  <si>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</si>
  <si>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</si>
  <si>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</si>
  <si>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</si>
  <si>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</si>
  <si>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</si>
  <si>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</si>
  <si>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</si>
  <si>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</si>
  <si>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</si>
  <si>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</si>
  <si>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</si>
  <si>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</si>
  <si>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Phạm Đức Thắng</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</si>
  <si>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</si>
  <si>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</si>
  <si>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</si>
  <si>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</si>
  <si>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</si>
  <si>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</si>
  <si>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</si>
  <si>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</si>
  <si>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</si>
  <si>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</si>
  <si>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</si>
  <si>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</si>
  <si>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 xml:space="preserve">   KẾT QUẢ THI HÀNH ÁN DÂN SỰ TÍNH BẰNG TIÊN</t>
  </si>
  <si>
    <t xml:space="preserve">Nguyễn Văn Quế </t>
  </si>
  <si>
    <t xml:space="preserve">Nguyễn văn Quế </t>
  </si>
  <si>
    <r>
      <t xml:space="preserve">Đơn vị nhận báo cáo: </t>
    </r>
    <r>
      <rPr>
        <b/>
        <sz val="9"/>
        <rFont val="Times New Roman"/>
        <family val="1"/>
      </rPr>
      <t>Tổng cục</t>
    </r>
  </si>
  <si>
    <t>Hà Ích Đạt</t>
  </si>
  <si>
    <t>Nguyễn Hồng Nghị</t>
  </si>
  <si>
    <t>Nguyễn Thị  Dương Hồng</t>
  </si>
  <si>
    <t>Nguyễn Thị Dương Hồng</t>
  </si>
  <si>
    <t>Hoàng Đức Úy</t>
  </si>
  <si>
    <t>(Ghi chú: Cột số 5, 7 việc  Cục THADS tỉnh rút lên đã cộng vào thụ lý mới của Cục và giảm trừ vào số việc năm trước chuyển sang của Chi Cục THADS huyện Chiêm Hóa)</t>
  </si>
  <si>
    <t>(Ghi chú: Cột số 5, số tiền 570,000,000đ Cục THADS tỉnh rút lên đã cộng vào thụ lý mới của Cục và giảm trừ số tiền năm trước chuyển sang của Chi Cục THADS huyện Chiêm Hóa)</t>
  </si>
  <si>
    <t>Các chi Cục thành phố</t>
  </si>
  <si>
    <t>Tỷ lệ 
có điều kiện/tổng số phải thi hành</t>
  </si>
  <si>
    <t>Tỷ lệ giảm án tồn có điều kiện
chuyển kỳ sau/số có điều kiện năm 2016 chuyển sang 2017</t>
  </si>
  <si>
    <t>Tổng thụ lý 
tăng (giảm)
so cùng kỳ</t>
  </si>
  <si>
    <t>Thụ lý mới 
tăng (giảm)
so cùng kỳ</t>
  </si>
  <si>
    <t>Tổng phải thi hành
 tăng (giảm)
 so cùng kỳ</t>
  </si>
  <si>
    <t>Tổng có điều kiện
 tăng (giảm) 
so cùng kỳ</t>
  </si>
  <si>
    <t>Thi hành xong 
tăng (giảm) 
so cùng kỳ</t>
  </si>
  <si>
    <t>Tỷ lệ 
có điều kiện/Tổng số phải thi hành</t>
  </si>
  <si>
    <t>Tỷ lệ giảm số tiền 
có điều kiện chuyển kỳ sau/số có điều kiện năm 2016 chuyển sang 2017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</si>
</sst>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0_ ;[Red]\-#,##0\ "/>
  </numFmts>
  <fonts count="149">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10"/>
      <color indexed="14"/>
      <name val="Times New Roman"/>
      <family val="1"/>
    </font>
    <font>
      <b/>
      <sz val="10"/>
      <color indexed="14"/>
      <name val="Times New Roman"/>
      <family val="1"/>
    </font>
    <font>
      <b/>
      <sz val="10"/>
      <color indexed="10"/>
      <name val="Times New Roman"/>
      <family val="1"/>
    </font>
    <font>
      <sz val="8"/>
      <color indexed="10"/>
      <name val="Times New Roman"/>
      <family val="1"/>
    </font>
    <font>
      <sz val="9"/>
      <color indexed="10"/>
      <name val="Times New Roman"/>
      <family val="1"/>
    </font>
    <font>
      <b/>
      <sz val="9"/>
      <color indexed="14"/>
      <name val="Times New Roman"/>
      <family val="1"/>
    </font>
    <font>
      <b/>
      <sz val="8"/>
      <color indexed="14"/>
      <name val="Times New Roman"/>
      <family val="1"/>
    </font>
    <font>
      <b/>
      <sz val="8"/>
      <color indexed="10"/>
      <name val="Times New Roman"/>
      <family val="1"/>
    </font>
    <font>
      <sz val="8"/>
      <color indexed="10"/>
      <name val=".VnTime"/>
      <family val="0"/>
    </font>
    <font>
      <sz val="9"/>
      <name val=".VnTime"/>
      <family val="0"/>
    </font>
    <font>
      <sz val="10"/>
      <name val=".VnTime"/>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7" tint="0.39998000860214233"/>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rgb="FFFFC000"/>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color indexed="63"/>
      </left>
      <right>
        <color indexed="63"/>
      </right>
      <top style="double"/>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color indexed="63"/>
      </right>
      <top>
        <color indexed="63"/>
      </top>
      <bottom>
        <color indexed="63"/>
      </bottom>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32"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32"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32"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2"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32"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32"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2"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2"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2"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2"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2"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33"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33"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33"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33"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3"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3"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33"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33"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33"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33"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3"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3"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34"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5" fillId="37" borderId="1" applyNumberFormat="0" applyAlignment="0" applyProtection="0"/>
    <xf numFmtId="0" fontId="39" fillId="38" borderId="2" applyNumberFormat="0" applyAlignment="0" applyProtection="0"/>
    <xf numFmtId="0" fontId="39"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6" fillId="39" borderId="3" applyNumberFormat="0" applyAlignment="0" applyProtection="0"/>
    <xf numFmtId="0" fontId="40" fillId="40" borderId="4" applyNumberFormat="0" applyAlignment="0" applyProtection="0"/>
    <xf numFmtId="0" fontId="40" fillId="40" borderId="4" applyNumberFormat="0" applyAlignment="0" applyProtection="0"/>
    <xf numFmtId="0" fontId="13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8"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9"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40"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41"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4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42" fillId="42" borderId="1" applyNumberFormat="0" applyAlignment="0" applyProtection="0"/>
    <xf numFmtId="0" fontId="46" fillId="9" borderId="2" applyNumberFormat="0" applyAlignment="0" applyProtection="0"/>
    <xf numFmtId="0" fontId="46" fillId="9" borderId="2" applyNumberFormat="0" applyAlignment="0" applyProtection="0"/>
    <xf numFmtId="0" fontId="143"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44"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5"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46"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7"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8"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67">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3"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4"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2" fillId="3" borderId="20" xfId="136" applyNumberFormat="1" applyFont="1" applyFill="1" applyBorder="1" applyAlignment="1">
      <alignment vertical="center"/>
      <protection/>
    </xf>
    <xf numFmtId="3" fontId="57" fillId="3" borderId="20" xfId="136" applyNumberFormat="1" applyFont="1" applyFill="1" applyBorder="1" applyAlignment="1">
      <alignment vertical="center"/>
      <protection/>
    </xf>
    <xf numFmtId="49" fontId="58"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9" fillId="48" borderId="20" xfId="136" applyNumberFormat="1" applyFont="1" applyFill="1" applyBorder="1" applyAlignment="1">
      <alignment vertical="center"/>
      <protection/>
    </xf>
    <xf numFmtId="3" fontId="29" fillId="0" borderId="20" xfId="136" applyNumberFormat="1" applyFont="1" applyFill="1" applyBorder="1" applyAlignment="1">
      <alignment vertical="center"/>
      <protection/>
    </xf>
    <xf numFmtId="9" fontId="0" fillId="0" borderId="0" xfId="146"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9"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9"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9" fillId="0" borderId="0" xfId="136" applyNumberFormat="1" applyFont="1" applyFill="1" applyBorder="1" applyAlignment="1">
      <alignment horizontal="center" wrapText="1"/>
      <protection/>
    </xf>
    <xf numFmtId="49" fontId="59" fillId="0" borderId="0" xfId="136" applyNumberFormat="1" applyFont="1" applyBorder="1">
      <alignment/>
      <protection/>
    </xf>
    <xf numFmtId="49" fontId="60"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1"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2" fillId="0" borderId="0" xfId="136" applyNumberFormat="1" applyFont="1" applyBorder="1">
      <alignment/>
      <protection/>
    </xf>
    <xf numFmtId="49" fontId="63" fillId="0" borderId="0" xfId="136" applyNumberFormat="1" applyFont="1" applyBorder="1" applyAlignment="1">
      <alignment wrapText="1"/>
      <protection/>
    </xf>
    <xf numFmtId="49" fontId="2" fillId="0" borderId="0" xfId="136" applyNumberFormat="1" applyFont="1" applyBorder="1">
      <alignment/>
      <protection/>
    </xf>
    <xf numFmtId="49" fontId="40" fillId="0" borderId="0" xfId="136" applyNumberFormat="1" applyFont="1" applyBorder="1" applyAlignment="1">
      <alignment horizontal="center" wrapText="1"/>
      <protection/>
    </xf>
    <xf numFmtId="49" fontId="40"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29" fillId="0" borderId="0" xfId="136" applyNumberFormat="1" applyFont="1">
      <alignment/>
      <protection/>
    </xf>
    <xf numFmtId="49" fontId="29" fillId="0" borderId="0" xfId="136" applyNumberFormat="1" applyFont="1" applyFill="1">
      <alignment/>
      <protection/>
    </xf>
    <xf numFmtId="49" fontId="29"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6" fillId="0" borderId="0" xfId="136" applyFont="1" applyAlignment="1">
      <alignment/>
      <protection/>
    </xf>
    <xf numFmtId="0" fontId="3" fillId="0" borderId="0" xfId="136" applyFont="1" applyAlignment="1">
      <alignment/>
      <protection/>
    </xf>
    <xf numFmtId="49" fontId="31"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30" fillId="3" borderId="20" xfId="136" applyNumberFormat="1" applyFont="1" applyFill="1" applyBorder="1" applyAlignment="1">
      <alignment horizontal="center" vertical="center" wrapText="1"/>
      <protection/>
    </xf>
    <xf numFmtId="3" fontId="69"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0"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2"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4"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6"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9"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9" fillId="0" borderId="0" xfId="136" applyNumberFormat="1" applyFont="1" applyAlignment="1">
      <alignment wrapText="1"/>
      <protection/>
    </xf>
    <xf numFmtId="49" fontId="37" fillId="0" borderId="0" xfId="136" applyNumberFormat="1" applyFont="1">
      <alignment/>
      <protection/>
    </xf>
    <xf numFmtId="49" fontId="37" fillId="0" borderId="0" xfId="136" applyNumberFormat="1" applyFont="1" applyAlignment="1">
      <alignment wrapText="1"/>
      <protection/>
    </xf>
    <xf numFmtId="49" fontId="3" fillId="47" borderId="0" xfId="136" applyNumberFormat="1" applyFont="1" applyFill="1" applyAlignment="1">
      <alignment/>
      <protection/>
    </xf>
    <xf numFmtId="49" fontId="72"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7"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7" fillId="0" borderId="0" xfId="139" applyNumberFormat="1" applyFont="1" applyFill="1">
      <alignment/>
      <protection/>
    </xf>
    <xf numFmtId="49" fontId="27"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9" fillId="0" borderId="0" xfId="139" applyNumberFormat="1" applyFont="1" applyBorder="1" applyAlignment="1">
      <alignment/>
      <protection/>
    </xf>
    <xf numFmtId="49" fontId="79"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9" fillId="0" borderId="0" xfId="139" applyNumberFormat="1" applyFont="1" applyAlignment="1">
      <alignment horizontal="center"/>
      <protection/>
    </xf>
    <xf numFmtId="49" fontId="29" fillId="0" borderId="0" xfId="139" applyNumberFormat="1" applyFont="1">
      <alignment/>
      <protection/>
    </xf>
    <xf numFmtId="49" fontId="79" fillId="0" borderId="0" xfId="139" applyNumberFormat="1" applyFont="1" applyAlignment="1">
      <alignment horizontal="center"/>
      <protection/>
    </xf>
    <xf numFmtId="49" fontId="13" fillId="0" borderId="0" xfId="139" applyNumberFormat="1" applyFont="1" applyBorder="1" applyAlignment="1">
      <alignment wrapText="1"/>
      <protection/>
    </xf>
    <xf numFmtId="49" fontId="81" fillId="0" borderId="0" xfId="139" applyNumberFormat="1" applyFont="1">
      <alignment/>
      <protection/>
    </xf>
    <xf numFmtId="9" fontId="27" fillId="0" borderId="0" xfId="146" applyFont="1" applyAlignment="1">
      <alignment/>
    </xf>
    <xf numFmtId="3" fontId="0" fillId="47" borderId="0" xfId="139" applyNumberFormat="1" applyFont="1" applyFill="1" applyBorder="1" applyAlignment="1">
      <alignment/>
      <protection/>
    </xf>
    <xf numFmtId="0" fontId="27"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7"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7" fillId="0" borderId="0" xfId="146" applyFont="1" applyAlignment="1">
      <alignment vertical="center"/>
    </xf>
    <xf numFmtId="0" fontId="5" fillId="0" borderId="23" xfId="139" applyFont="1" applyBorder="1" applyAlignment="1">
      <alignment horizontal="center" vertical="center"/>
      <protection/>
    </xf>
    <xf numFmtId="0" fontId="27"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9" fillId="0" borderId="0" xfId="139" applyFont="1" applyBorder="1" applyAlignment="1">
      <alignment wrapText="1"/>
      <protection/>
    </xf>
    <xf numFmtId="0" fontId="25" fillId="0" borderId="0" xfId="139" applyNumberFormat="1" applyFont="1" applyBorder="1" applyAlignment="1">
      <alignment/>
      <protection/>
    </xf>
    <xf numFmtId="0" fontId="79"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9"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30" fillId="3" borderId="20" xfId="139" applyNumberFormat="1" applyFont="1" applyFill="1" applyBorder="1" applyAlignment="1">
      <alignment horizontal="center" vertical="center"/>
      <protection/>
    </xf>
    <xf numFmtId="3" fontId="69" fillId="3" borderId="20" xfId="139" applyNumberFormat="1" applyFont="1" applyFill="1" applyBorder="1" applyAlignment="1">
      <alignment horizontal="center" vertical="center"/>
      <protection/>
    </xf>
    <xf numFmtId="3" fontId="30"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7" fillId="0" borderId="0" xfId="139" applyNumberFormat="1" applyFont="1">
      <alignment/>
      <protection/>
    </xf>
    <xf numFmtId="49" fontId="27" fillId="0" borderId="0" xfId="139" applyNumberFormat="1">
      <alignment/>
      <protection/>
    </xf>
    <xf numFmtId="49" fontId="29" fillId="0" borderId="0" xfId="139" applyNumberFormat="1" applyFont="1" applyBorder="1" applyAlignment="1">
      <alignment wrapText="1"/>
      <protection/>
    </xf>
    <xf numFmtId="49" fontId="21" fillId="0" borderId="0" xfId="139" applyNumberFormat="1" applyFont="1">
      <alignment/>
      <protection/>
    </xf>
    <xf numFmtId="49" fontId="31" fillId="0" borderId="0" xfId="139" applyNumberFormat="1" applyFont="1">
      <alignment/>
      <protection/>
    </xf>
    <xf numFmtId="49" fontId="31"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7" fillId="0" borderId="24" xfId="139" applyFont="1" applyBorder="1">
      <alignment/>
      <protection/>
    </xf>
    <xf numFmtId="0" fontId="27"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5"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9" fillId="0" borderId="0" xfId="139" applyNumberFormat="1" applyFont="1" applyBorder="1" applyAlignment="1">
      <alignment/>
      <protection/>
    </xf>
    <xf numFmtId="0" fontId="88" fillId="0" borderId="0" xfId="139" applyFont="1">
      <alignment/>
      <protection/>
    </xf>
    <xf numFmtId="0" fontId="16" fillId="0" borderId="0" xfId="139" applyFont="1">
      <alignment/>
      <protection/>
    </xf>
    <xf numFmtId="0" fontId="28" fillId="0" borderId="0" xfId="139" applyFont="1">
      <alignment/>
      <protection/>
    </xf>
    <xf numFmtId="0" fontId="13" fillId="0" borderId="0" xfId="139" applyFont="1">
      <alignment/>
      <protection/>
    </xf>
    <xf numFmtId="49" fontId="13" fillId="0" borderId="0" xfId="139" applyNumberFormat="1" applyFont="1">
      <alignment/>
      <protection/>
    </xf>
    <xf numFmtId="0" fontId="81" fillId="0" borderId="0" xfId="139" applyFont="1">
      <alignment/>
      <protection/>
    </xf>
    <xf numFmtId="49" fontId="18" fillId="0" borderId="0" xfId="139" applyNumberFormat="1" applyFont="1" applyBorder="1" applyAlignment="1">
      <alignment/>
      <protection/>
    </xf>
    <xf numFmtId="49" fontId="27"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7" fillId="0" borderId="0" xfId="139" applyNumberFormat="1" applyFill="1">
      <alignment/>
      <protection/>
    </xf>
    <xf numFmtId="49" fontId="27" fillId="0" borderId="0" xfId="139" applyNumberFormat="1" applyFill="1" applyAlignment="1">
      <alignment vertical="center" wrapText="1"/>
      <protection/>
    </xf>
    <xf numFmtId="49" fontId="27"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7"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7" fillId="0" borderId="20" xfId="139" applyNumberFormat="1" applyFont="1" applyFill="1" applyBorder="1" applyAlignment="1">
      <alignment horizontal="center" vertical="center"/>
      <protection/>
    </xf>
    <xf numFmtId="49" fontId="27" fillId="0" borderId="0" xfId="139" applyNumberFormat="1" applyAlignment="1">
      <alignment horizontal="center"/>
      <protection/>
    </xf>
    <xf numFmtId="49" fontId="72" fillId="0" borderId="0" xfId="139" applyNumberFormat="1" applyFont="1" applyAlignment="1">
      <alignment horizontal="left"/>
      <protection/>
    </xf>
    <xf numFmtId="49" fontId="31"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7" fillId="47" borderId="0" xfId="139" applyNumberFormat="1" applyFont="1" applyFill="1" applyAlignment="1">
      <alignment vertical="center"/>
      <protection/>
    </xf>
    <xf numFmtId="3" fontId="27" fillId="47" borderId="20" xfId="139" applyNumberFormat="1" applyFont="1" applyFill="1" applyBorder="1" applyAlignment="1">
      <alignment horizontal="center" vertical="center"/>
      <protection/>
    </xf>
    <xf numFmtId="3" fontId="91"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7" fillId="0" borderId="19" xfId="139" applyNumberFormat="1" applyFont="1" applyFill="1" applyBorder="1" applyAlignment="1">
      <alignment vertical="center"/>
      <protection/>
    </xf>
    <xf numFmtId="3" fontId="92" fillId="0" borderId="19" xfId="139" applyNumberFormat="1" applyFont="1" applyFill="1" applyBorder="1" applyAlignment="1">
      <alignment vertical="center"/>
      <protection/>
    </xf>
    <xf numFmtId="49" fontId="31" fillId="0" borderId="0" xfId="139" applyNumberFormat="1" applyFont="1" applyBorder="1" applyAlignment="1">
      <alignment/>
      <protection/>
    </xf>
    <xf numFmtId="49" fontId="29" fillId="0" borderId="0" xfId="139" applyNumberFormat="1" applyFont="1" applyBorder="1" applyAlignment="1">
      <alignment horizontal="center"/>
      <protection/>
    </xf>
    <xf numFmtId="49" fontId="29" fillId="0" borderId="0" xfId="139" applyNumberFormat="1" applyFont="1" applyAlignment="1">
      <alignment/>
      <protection/>
    </xf>
    <xf numFmtId="0" fontId="5" fillId="47" borderId="0" xfId="139" applyFont="1" applyFill="1" applyBorder="1" applyAlignment="1">
      <alignment/>
      <protection/>
    </xf>
    <xf numFmtId="49" fontId="93" fillId="0" borderId="0" xfId="139" applyNumberFormat="1" applyFont="1">
      <alignment/>
      <protection/>
    </xf>
    <xf numFmtId="49" fontId="94" fillId="0" borderId="0" xfId="139" applyNumberFormat="1" applyFont="1">
      <alignment/>
      <protection/>
    </xf>
    <xf numFmtId="49" fontId="95" fillId="0" borderId="0" xfId="139" applyNumberFormat="1" applyFont="1" applyAlignment="1">
      <alignment horizontal="center"/>
      <protection/>
    </xf>
    <xf numFmtId="49" fontId="25" fillId="47" borderId="0" xfId="136" applyNumberFormat="1" applyFont="1" applyFill="1" applyAlignment="1">
      <alignment/>
      <protection/>
    </xf>
    <xf numFmtId="49" fontId="80" fillId="0" borderId="0" xfId="139" applyNumberFormat="1" applyFont="1">
      <alignment/>
      <protection/>
    </xf>
    <xf numFmtId="49" fontId="31" fillId="0" borderId="0" xfId="139" applyNumberFormat="1" applyFont="1" applyBorder="1" applyAlignment="1">
      <alignment wrapText="1"/>
      <protection/>
    </xf>
    <xf numFmtId="49" fontId="83" fillId="0" borderId="0" xfId="139" applyNumberFormat="1" applyFont="1">
      <alignment/>
      <protection/>
    </xf>
    <xf numFmtId="49" fontId="78"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6" fillId="0" borderId="0" xfId="139" applyNumberFormat="1" applyFont="1" applyFill="1">
      <alignment/>
      <protection/>
    </xf>
    <xf numFmtId="49" fontId="27"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2" fillId="0" borderId="0" xfId="139" applyNumberFormat="1" applyFont="1" applyFill="1">
      <alignment/>
      <protection/>
    </xf>
    <xf numFmtId="49" fontId="82"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9"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2" fillId="0" borderId="0" xfId="139" applyFont="1" applyAlignment="1">
      <alignment horizontal="center"/>
      <protection/>
    </xf>
    <xf numFmtId="49" fontId="52" fillId="0" borderId="0" xfId="139" applyNumberFormat="1" applyFont="1">
      <alignment/>
      <protection/>
    </xf>
    <xf numFmtId="49" fontId="97" fillId="0" borderId="0" xfId="139" applyNumberFormat="1" applyFont="1" applyBorder="1" applyAlignment="1">
      <alignment wrapText="1"/>
      <protection/>
    </xf>
    <xf numFmtId="0" fontId="31"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9" fillId="47" borderId="20" xfId="0" applyNumberFormat="1" applyFont="1" applyFill="1" applyBorder="1" applyAlignment="1">
      <alignment/>
    </xf>
    <xf numFmtId="3" fontId="29"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9"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9"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7" fillId="0" borderId="20" xfId="0" applyNumberFormat="1" applyFont="1" applyFill="1" applyBorder="1" applyAlignment="1" applyProtection="1">
      <alignmen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9"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0" xfId="0" applyNumberFormat="1" applyFont="1" applyFill="1" applyAlignment="1">
      <alignment/>
    </xf>
    <xf numFmtId="0" fontId="29" fillId="0" borderId="0" xfId="0" applyNumberFormat="1" applyFont="1" applyFill="1" applyAlignment="1">
      <alignment/>
    </xf>
    <xf numFmtId="0" fontId="29" fillId="0" borderId="0" xfId="0" applyNumberFormat="1" applyFont="1" applyFill="1" applyAlignment="1">
      <alignment/>
    </xf>
    <xf numFmtId="0" fontId="25" fillId="0" borderId="0" xfId="0" applyNumberFormat="1" applyFont="1" applyFill="1" applyBorder="1" applyAlignment="1">
      <alignment horizontal="center" wrapText="1"/>
    </xf>
    <xf numFmtId="0" fontId="29" fillId="0" borderId="0" xfId="0" applyNumberFormat="1" applyFont="1" applyFill="1" applyAlignment="1">
      <alignment wrapText="1"/>
    </xf>
    <xf numFmtId="0" fontId="29"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5" fillId="47" borderId="20"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5" fillId="47" borderId="26" xfId="0" applyFont="1" applyFill="1" applyBorder="1" applyAlignment="1" applyProtection="1">
      <alignment vertical="center"/>
      <protection locked="0"/>
    </xf>
    <xf numFmtId="9" fontId="104" fillId="44" borderId="20" xfId="93" applyNumberFormat="1" applyFont="1" applyFill="1" applyBorder="1" applyAlignment="1" applyProtection="1">
      <alignment horizontal="right" vertical="center" wrapText="1"/>
      <protection/>
    </xf>
    <xf numFmtId="172" fontId="6" fillId="48" borderId="26" xfId="93" applyNumberFormat="1" applyFont="1" applyFill="1" applyBorder="1" applyAlignment="1" applyProtection="1">
      <alignment horizontal="left" vertical="center" wrapText="1"/>
      <protection locked="0"/>
    </xf>
    <xf numFmtId="49" fontId="5" fillId="47" borderId="20" xfId="137" applyNumberFormat="1" applyFont="1" applyFill="1" applyBorder="1" applyAlignment="1" applyProtection="1">
      <alignment vertical="center"/>
      <protection locked="0"/>
    </xf>
    <xf numFmtId="49" fontId="4" fillId="0" borderId="20" xfId="0" applyNumberFormat="1" applyFont="1" applyFill="1" applyBorder="1" applyAlignment="1" applyProtection="1">
      <alignment vertical="center"/>
      <protection locked="0"/>
    </xf>
    <xf numFmtId="49" fontId="4" fillId="0" borderId="39" xfId="0" applyNumberFormat="1" applyFont="1" applyFill="1" applyBorder="1" applyAlignment="1" applyProtection="1">
      <alignment horizontal="center" vertical="center"/>
      <protection/>
    </xf>
    <xf numFmtId="172" fontId="105" fillId="38" borderId="20" xfId="93" applyNumberFormat="1" applyFont="1" applyFill="1" applyBorder="1" applyAlignment="1" applyProtection="1">
      <alignment horizontal="right" vertical="center" wrapText="1"/>
      <protection/>
    </xf>
    <xf numFmtId="9" fontId="104" fillId="38" borderId="20" xfId="93" applyNumberFormat="1" applyFont="1" applyFill="1" applyBorder="1" applyAlignment="1" applyProtection="1">
      <alignment horizontal="right" vertical="center" wrapText="1"/>
      <protection/>
    </xf>
    <xf numFmtId="172" fontId="6" fillId="38" borderId="20" xfId="93" applyNumberFormat="1" applyFont="1" applyFill="1" applyBorder="1" applyAlignment="1" applyProtection="1">
      <alignment horizontal="right" vertical="center" wrapText="1"/>
      <protection/>
    </xf>
    <xf numFmtId="3" fontId="5" fillId="0" borderId="20" xfId="135" applyNumberFormat="1" applyFont="1" applyFill="1" applyBorder="1" applyAlignment="1" applyProtection="1">
      <alignment horizontal="right" vertical="center"/>
      <protection/>
    </xf>
    <xf numFmtId="172" fontId="104" fillId="38" borderId="20" xfId="93" applyNumberFormat="1" applyFont="1" applyFill="1" applyBorder="1" applyAlignment="1" applyProtection="1">
      <alignment horizontal="right" vertical="center" wrapText="1"/>
      <protection/>
    </xf>
    <xf numFmtId="9" fontId="30" fillId="38" borderId="20" xfId="93" applyNumberFormat="1" applyFont="1" applyFill="1" applyBorder="1" applyAlignment="1" applyProtection="1">
      <alignment horizontal="right" vertical="center" wrapText="1"/>
      <protection/>
    </xf>
    <xf numFmtId="172" fontId="106" fillId="0" borderId="20" xfId="93" applyNumberFormat="1" applyFont="1" applyFill="1" applyBorder="1" applyAlignment="1" applyProtection="1">
      <alignment horizontal="right" vertical="center" wrapText="1"/>
      <protection/>
    </xf>
    <xf numFmtId="172" fontId="30" fillId="0" borderId="20" xfId="93" applyNumberFormat="1" applyFont="1" applyFill="1" applyBorder="1" applyAlignment="1" applyProtection="1">
      <alignment horizontal="right" vertical="center" wrapText="1"/>
      <protection/>
    </xf>
    <xf numFmtId="9" fontId="30" fillId="44" borderId="20" xfId="93" applyNumberFormat="1" applyFont="1" applyFill="1" applyBorder="1" applyAlignment="1" applyProtection="1">
      <alignment horizontal="right" vertical="center" wrapText="1"/>
      <protection/>
    </xf>
    <xf numFmtId="49" fontId="32" fillId="0" borderId="39" xfId="0" applyNumberFormat="1" applyFont="1" applyFill="1" applyBorder="1" applyAlignment="1" applyProtection="1">
      <alignment horizontal="center" vertical="center"/>
      <protection/>
    </xf>
    <xf numFmtId="49" fontId="30" fillId="47" borderId="20" xfId="0" applyNumberFormat="1" applyFont="1" applyFill="1" applyBorder="1" applyAlignment="1" applyProtection="1">
      <alignment vertical="center"/>
      <protection locked="0"/>
    </xf>
    <xf numFmtId="9" fontId="30" fillId="44" borderId="20" xfId="93" applyNumberFormat="1" applyFont="1" applyFill="1" applyBorder="1" applyAlignment="1" applyProtection="1">
      <alignment horizontal="right" vertical="center" wrapText="1"/>
      <protection/>
    </xf>
    <xf numFmtId="9" fontId="30" fillId="49" borderId="20" xfId="93" applyNumberFormat="1" applyFont="1" applyFill="1" applyBorder="1" applyAlignment="1" applyProtection="1">
      <alignment horizontal="right" vertical="center" wrapText="1"/>
      <protection/>
    </xf>
    <xf numFmtId="9" fontId="30" fillId="38" borderId="20" xfId="93" applyNumberFormat="1" applyFont="1" applyFill="1" applyBorder="1" applyAlignment="1" applyProtection="1">
      <alignment horizontal="right" vertical="center" wrapText="1"/>
      <protection/>
    </xf>
    <xf numFmtId="9" fontId="30" fillId="44" borderId="20" xfId="93" applyNumberFormat="1" applyFont="1" applyFill="1" applyBorder="1" applyAlignment="1" applyProtection="1">
      <alignment horizontal="right" vertical="center" wrapText="1"/>
      <protection/>
    </xf>
    <xf numFmtId="49" fontId="30" fillId="47" borderId="20" xfId="0" applyNumberFormat="1" applyFont="1" applyFill="1" applyBorder="1" applyAlignment="1" applyProtection="1">
      <alignment horizontal="left" vertical="center"/>
      <protection locked="0"/>
    </xf>
    <xf numFmtId="49" fontId="30" fillId="47" borderId="20" xfId="0" applyNumberFormat="1" applyFont="1" applyFill="1" applyBorder="1" applyAlignment="1" applyProtection="1">
      <alignment horizontal="center" vertical="center"/>
      <protection locked="0"/>
    </xf>
    <xf numFmtId="49" fontId="32" fillId="47" borderId="20" xfId="0" applyNumberFormat="1" applyFont="1" applyFill="1" applyBorder="1" applyAlignment="1" applyProtection="1">
      <alignment vertical="center"/>
      <protection locked="0"/>
    </xf>
    <xf numFmtId="174" fontId="5" fillId="47" borderId="20" xfId="0" applyNumberFormat="1" applyFont="1" applyFill="1" applyBorder="1" applyAlignment="1" applyProtection="1">
      <alignment horizontal="right" vertical="center"/>
      <protection locked="0"/>
    </xf>
    <xf numFmtId="174" fontId="5" fillId="47" borderId="20" xfId="147" applyNumberFormat="1" applyFont="1" applyFill="1" applyBorder="1" applyAlignment="1" applyProtection="1">
      <alignment horizontal="right" vertical="center"/>
      <protection locked="0"/>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3"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3" fillId="0" borderId="20" xfId="0" applyNumberFormat="1" applyFont="1" applyFill="1" applyBorder="1" applyAlignment="1" applyProtection="1">
      <alignment horizontal="center" vertical="center"/>
      <protection/>
    </xf>
    <xf numFmtId="49" fontId="103" fillId="0" borderId="38" xfId="0" applyNumberFormat="1" applyFont="1" applyFill="1" applyBorder="1" applyAlignment="1" applyProtection="1">
      <alignment horizontal="center" vertical="center"/>
      <protection/>
    </xf>
    <xf numFmtId="172" fontId="109" fillId="44" borderId="20" xfId="93" applyNumberFormat="1" applyFont="1" applyFill="1" applyBorder="1" applyAlignment="1" applyProtection="1">
      <alignment vertical="center"/>
      <protection/>
    </xf>
    <xf numFmtId="172" fontId="12" fillId="48" borderId="20" xfId="93" applyNumberFormat="1" applyFont="1" applyFill="1" applyBorder="1" applyAlignment="1" applyProtection="1">
      <alignment horizontal="center" vertical="center"/>
      <protection locked="0"/>
    </xf>
    <xf numFmtId="172" fontId="24" fillId="0" borderId="20" xfId="93" applyNumberFormat="1" applyFont="1" applyFill="1" applyBorder="1" applyAlignment="1" applyProtection="1">
      <alignment horizontal="center" vertical="center"/>
      <protection locked="0"/>
    </xf>
    <xf numFmtId="172" fontId="108" fillId="0" borderId="20" xfId="93" applyNumberFormat="1" applyFont="1" applyFill="1" applyBorder="1" applyAlignment="1" applyProtection="1">
      <alignment horizontal="center" vertical="center"/>
      <protection locked="0"/>
    </xf>
    <xf numFmtId="172" fontId="76" fillId="48" borderId="20" xfId="93" applyNumberFormat="1" applyFont="1" applyFill="1" applyBorder="1" applyAlignment="1" applyProtection="1">
      <alignment horizontal="center" vertical="center"/>
      <protection locked="0"/>
    </xf>
    <xf numFmtId="0" fontId="24" fillId="0" borderId="40"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3" fontId="5" fillId="47" borderId="20" xfId="0" applyNumberFormat="1" applyFont="1" applyFill="1" applyBorder="1" applyAlignment="1" applyProtection="1">
      <alignment horizontal="right" vertical="center"/>
      <protection/>
    </xf>
    <xf numFmtId="3" fontId="5" fillId="47" borderId="20" xfId="146"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172" fontId="6" fillId="38" borderId="20" xfId="93" applyNumberFormat="1" applyFont="1" applyFill="1" applyBorder="1" applyAlignment="1" applyProtection="1">
      <alignment horizontal="right" vertical="center" wrapText="1"/>
      <protection/>
    </xf>
    <xf numFmtId="9" fontId="5" fillId="38" borderId="20" xfId="93" applyNumberFormat="1" applyFont="1" applyFill="1" applyBorder="1" applyAlignment="1" applyProtection="1">
      <alignment horizontal="right" vertical="center" wrapText="1"/>
      <protection/>
    </xf>
    <xf numFmtId="172" fontId="26" fillId="48" borderId="20" xfId="93" applyNumberFormat="1" applyFont="1" applyFill="1" applyBorder="1" applyAlignment="1" applyProtection="1">
      <alignment horizontal="center" vertical="center"/>
      <protection locked="0"/>
    </xf>
    <xf numFmtId="172" fontId="26" fillId="48" borderId="26" xfId="93" applyNumberFormat="1" applyFont="1" applyFill="1" applyBorder="1" applyAlignment="1" applyProtection="1">
      <alignment horizontal="left" vertical="center" wrapText="1"/>
      <protection locked="0"/>
    </xf>
    <xf numFmtId="172" fontId="26" fillId="38" borderId="20" xfId="93" applyNumberFormat="1" applyFont="1" applyFill="1" applyBorder="1" applyAlignment="1" applyProtection="1">
      <alignment vertical="center"/>
      <protection/>
    </xf>
    <xf numFmtId="9" fontId="26" fillId="38" borderId="20" xfId="146" applyNumberFormat="1" applyFont="1" applyFill="1" applyBorder="1" applyAlignment="1" applyProtection="1">
      <alignment vertical="center"/>
      <protection/>
    </xf>
    <xf numFmtId="174" fontId="5" fillId="47" borderId="20" xfId="0" applyNumberFormat="1" applyFont="1" applyFill="1" applyBorder="1" applyAlignment="1" applyProtection="1">
      <alignment horizontal="right" vertical="center"/>
      <protection locked="0"/>
    </xf>
    <xf numFmtId="174" fontId="5" fillId="0" borderId="20"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xf>
    <xf numFmtId="172" fontId="110" fillId="44" borderId="20" xfId="93" applyNumberFormat="1" applyFont="1" applyFill="1" applyBorder="1" applyAlignment="1" applyProtection="1">
      <alignment vertical="center"/>
      <protection/>
    </xf>
    <xf numFmtId="172" fontId="110" fillId="50" borderId="20" xfId="93" applyNumberFormat="1" applyFont="1" applyFill="1" applyBorder="1" applyAlignment="1" applyProtection="1">
      <alignment vertical="center"/>
      <protection/>
    </xf>
    <xf numFmtId="172" fontId="110" fillId="38" borderId="20" xfId="93" applyNumberFormat="1" applyFont="1" applyFill="1" applyBorder="1" applyAlignment="1" applyProtection="1">
      <alignment vertical="center"/>
      <protection/>
    </xf>
    <xf numFmtId="9" fontId="8" fillId="38" borderId="20" xfId="146" applyNumberFormat="1" applyFont="1" applyFill="1" applyBorder="1" applyAlignment="1" applyProtection="1">
      <alignment vertical="center"/>
      <protection/>
    </xf>
    <xf numFmtId="172" fontId="26" fillId="38" borderId="20" xfId="93" applyNumberFormat="1" applyFont="1" applyFill="1" applyBorder="1" applyAlignment="1" applyProtection="1">
      <alignment vertical="center"/>
      <protection/>
    </xf>
    <xf numFmtId="9" fontId="8" fillId="38" borderId="20" xfId="146" applyNumberFormat="1" applyFont="1" applyFill="1" applyBorder="1" applyAlignment="1" applyProtection="1">
      <alignment vertical="center"/>
      <protection/>
    </xf>
    <xf numFmtId="0" fontId="107" fillId="47" borderId="20" xfId="0" applyFont="1" applyFill="1" applyBorder="1" applyAlignment="1" applyProtection="1">
      <alignment vertical="center"/>
      <protection locked="0"/>
    </xf>
    <xf numFmtId="172" fontId="107" fillId="0" borderId="20" xfId="93" applyNumberFormat="1" applyFont="1" applyFill="1" applyBorder="1" applyAlignment="1" applyProtection="1">
      <alignment vertical="center"/>
      <protection/>
    </xf>
    <xf numFmtId="3" fontId="107" fillId="47" borderId="20" xfId="0" applyNumberFormat="1" applyFont="1" applyFill="1" applyBorder="1" applyAlignment="1" applyProtection="1">
      <alignment horizontal="right" vertical="center"/>
      <protection/>
    </xf>
    <xf numFmtId="9" fontId="107" fillId="44" borderId="20" xfId="146" applyNumberFormat="1" applyFont="1" applyFill="1" applyBorder="1" applyAlignment="1" applyProtection="1">
      <alignment vertical="center"/>
      <protection/>
    </xf>
    <xf numFmtId="3" fontId="107" fillId="0" borderId="20" xfId="0" applyNumberFormat="1" applyFont="1" applyFill="1" applyBorder="1" applyAlignment="1" applyProtection="1">
      <alignment horizontal="right" vertical="center"/>
      <protection/>
    </xf>
    <xf numFmtId="0" fontId="107" fillId="0" borderId="20" xfId="0" applyFont="1" applyFill="1" applyBorder="1" applyAlignment="1" applyProtection="1">
      <alignment vertical="center"/>
      <protection locked="0"/>
    </xf>
    <xf numFmtId="0" fontId="107" fillId="47" borderId="26" xfId="0" applyFont="1" applyFill="1" applyBorder="1" applyAlignment="1" applyProtection="1">
      <alignment vertical="center"/>
      <protection locked="0"/>
    </xf>
    <xf numFmtId="49" fontId="8" fillId="47" borderId="20" xfId="0" applyNumberFormat="1" applyFont="1" applyFill="1" applyBorder="1" applyAlignment="1" applyProtection="1">
      <alignment vertical="center"/>
      <protection locked="0"/>
    </xf>
    <xf numFmtId="172" fontId="8" fillId="0" borderId="20" xfId="93" applyNumberFormat="1" applyFont="1" applyFill="1" applyBorder="1" applyAlignment="1" applyProtection="1">
      <alignment vertical="center"/>
      <protection/>
    </xf>
    <xf numFmtId="3" fontId="8" fillId="0" borderId="20" xfId="135" applyNumberFormat="1" applyFont="1" applyFill="1" applyBorder="1" applyAlignment="1" applyProtection="1">
      <alignment horizontal="right" vertical="center"/>
      <protection/>
    </xf>
    <xf numFmtId="9" fontId="8" fillId="44" borderId="20" xfId="146" applyNumberFormat="1" applyFont="1" applyFill="1" applyBorder="1" applyAlignment="1" applyProtection="1">
      <alignment vertical="center"/>
      <protection/>
    </xf>
    <xf numFmtId="9" fontId="107" fillId="38" borderId="20" xfId="146" applyNumberFormat="1" applyFont="1" applyFill="1" applyBorder="1" applyAlignment="1" applyProtection="1">
      <alignment vertical="center"/>
      <protection/>
    </xf>
    <xf numFmtId="172" fontId="26" fillId="38" borderId="20" xfId="93" applyNumberFormat="1" applyFont="1" applyFill="1" applyBorder="1" applyAlignment="1" applyProtection="1">
      <alignment horizontal="right" vertical="center"/>
      <protection/>
    </xf>
    <xf numFmtId="3" fontId="107" fillId="47" borderId="20" xfId="0" applyNumberFormat="1" applyFont="1" applyFill="1" applyBorder="1" applyAlignment="1" applyProtection="1">
      <alignment horizontal="center" vertical="center"/>
      <protection/>
    </xf>
    <xf numFmtId="172" fontId="111" fillId="38" borderId="20" xfId="93" applyNumberFormat="1" applyFont="1" applyFill="1" applyBorder="1" applyAlignment="1" applyProtection="1">
      <alignment vertical="center"/>
      <protection/>
    </xf>
    <xf numFmtId="3" fontId="107" fillId="47" borderId="20" xfId="0" applyNumberFormat="1" applyFont="1" applyFill="1" applyBorder="1" applyAlignment="1" applyProtection="1">
      <alignment vertical="center"/>
      <protection locked="0"/>
    </xf>
    <xf numFmtId="3" fontId="112" fillId="47" borderId="20" xfId="0" applyNumberFormat="1" applyFont="1" applyFill="1" applyBorder="1" applyAlignment="1" applyProtection="1">
      <alignment horizontal="right" vertical="center"/>
      <protection/>
    </xf>
    <xf numFmtId="3" fontId="112" fillId="0" borderId="20" xfId="0" applyNumberFormat="1" applyFont="1" applyFill="1" applyBorder="1" applyAlignment="1" applyProtection="1">
      <alignment horizontal="right" vertical="center"/>
      <protection locked="0"/>
    </xf>
    <xf numFmtId="9" fontId="104" fillId="38" borderId="20" xfId="93" applyNumberFormat="1" applyFont="1" applyFill="1" applyBorder="1" applyAlignment="1" applyProtection="1">
      <alignment vertical="center" wrapText="1"/>
      <protection/>
    </xf>
    <xf numFmtId="9" fontId="104" fillId="44" borderId="20" xfId="93" applyNumberFormat="1" applyFont="1" applyFill="1" applyBorder="1" applyAlignment="1" applyProtection="1">
      <alignment vertical="center" wrapText="1"/>
      <protection/>
    </xf>
    <xf numFmtId="173" fontId="24" fillId="0"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right" vertical="center"/>
      <protection locked="0"/>
    </xf>
    <xf numFmtId="3" fontId="24" fillId="0" borderId="20" xfId="0" applyNumberFormat="1" applyFont="1" applyFill="1" applyBorder="1" applyAlignment="1" applyProtection="1">
      <alignment horizontal="right" vertical="center"/>
      <protection/>
    </xf>
    <xf numFmtId="173" fontId="24" fillId="47" borderId="20" xfId="0" applyNumberFormat="1" applyFont="1" applyFill="1" applyBorder="1" applyAlignment="1" applyProtection="1">
      <alignment horizontal="right" vertical="center"/>
      <protection locked="0"/>
    </xf>
    <xf numFmtId="3" fontId="24" fillId="47" borderId="20" xfId="146"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vertical="center"/>
    </xf>
    <xf numFmtId="3" fontId="24" fillId="0" borderId="20" xfId="146" applyNumberFormat="1" applyFont="1" applyFill="1" applyBorder="1" applyAlignment="1" applyProtection="1">
      <alignment horizontal="right" vertical="center"/>
      <protection/>
    </xf>
    <xf numFmtId="172" fontId="26" fillId="0" borderId="20" xfId="93" applyNumberFormat="1" applyFont="1" applyFill="1" applyBorder="1" applyAlignment="1" applyProtection="1">
      <alignment vertical="center"/>
      <protection/>
    </xf>
    <xf numFmtId="3" fontId="26" fillId="47" borderId="20" xfId="0" applyNumberFormat="1" applyFont="1" applyFill="1" applyBorder="1" applyAlignment="1" applyProtection="1">
      <alignment vertical="center"/>
      <protection locked="0"/>
    </xf>
    <xf numFmtId="49" fontId="8" fillId="47" borderId="20" xfId="0" applyNumberFormat="1" applyFont="1" applyFill="1" applyBorder="1" applyAlignment="1" applyProtection="1">
      <alignment horizontal="left" vertical="center"/>
      <protection locked="0"/>
    </xf>
    <xf numFmtId="0" fontId="8" fillId="47" borderId="20" xfId="0" applyFont="1" applyFill="1" applyBorder="1" applyAlignment="1" applyProtection="1">
      <alignment vertical="center"/>
      <protection locked="0"/>
    </xf>
    <xf numFmtId="49" fontId="30" fillId="47" borderId="20" xfId="0" applyNumberFormat="1" applyFont="1" applyFill="1" applyBorder="1" applyAlignment="1" applyProtection="1">
      <alignment vertical="center"/>
      <protection locked="0"/>
    </xf>
    <xf numFmtId="3" fontId="5" fillId="0" borderId="20" xfId="135" applyNumberFormat="1" applyFont="1" applyFill="1" applyBorder="1" applyAlignment="1" applyProtection="1">
      <alignment horizontal="center" vertical="center"/>
      <protection/>
    </xf>
    <xf numFmtId="49" fontId="5" fillId="0" borderId="21"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3" fontId="5" fillId="0" borderId="20" xfId="135" applyNumberFormat="1" applyFont="1" applyFill="1" applyBorder="1" applyAlignment="1" applyProtection="1">
      <alignment horizontal="center" vertical="center"/>
      <protection/>
    </xf>
    <xf numFmtId="49"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49" fontId="24" fillId="0" borderId="20" xfId="137" applyNumberFormat="1" applyFont="1" applyFill="1" applyBorder="1" applyAlignment="1" applyProtection="1">
      <alignment vertical="center"/>
      <protection locked="0"/>
    </xf>
    <xf numFmtId="172" fontId="108" fillId="0" borderId="20" xfId="93" applyNumberFormat="1" applyFont="1" applyFill="1" applyBorder="1" applyAlignment="1" applyProtection="1">
      <alignment vertical="center"/>
      <protection/>
    </xf>
    <xf numFmtId="3" fontId="108" fillId="47" borderId="20" xfId="0" applyNumberFormat="1" applyFont="1" applyFill="1" applyBorder="1" applyAlignment="1" applyProtection="1">
      <alignment horizontal="center" vertical="center"/>
      <protection locked="0"/>
    </xf>
    <xf numFmtId="172" fontId="108" fillId="0" borderId="20" xfId="93" applyNumberFormat="1" applyFont="1" applyFill="1" applyBorder="1" applyAlignment="1" applyProtection="1">
      <alignment horizontal="right" vertical="center"/>
      <protection/>
    </xf>
    <xf numFmtId="173" fontId="5" fillId="0" borderId="20" xfId="0" applyNumberFormat="1" applyFont="1" applyFill="1" applyBorder="1" applyAlignment="1" applyProtection="1">
      <alignment horizontal="right" vertical="center"/>
      <protection locked="0"/>
    </xf>
    <xf numFmtId="172" fontId="6" fillId="0" borderId="20" xfId="93" applyNumberFormat="1" applyFont="1" applyFill="1" applyBorder="1" applyAlignment="1" applyProtection="1">
      <alignment horizontal="right" vertical="center" wrapText="1"/>
      <protection/>
    </xf>
    <xf numFmtId="49" fontId="30" fillId="47" borderId="20" xfId="0" applyNumberFormat="1" applyFont="1" applyFill="1" applyBorder="1" applyAlignment="1" applyProtection="1">
      <alignment horizontal="left" vertical="center"/>
      <protection locked="0"/>
    </xf>
    <xf numFmtId="174" fontId="6" fillId="44" borderId="20" xfId="0" applyNumberFormat="1" applyFont="1" applyFill="1" applyBorder="1" applyAlignment="1" applyProtection="1">
      <alignment horizontal="right"/>
      <protection/>
    </xf>
    <xf numFmtId="3" fontId="5" fillId="47" borderId="20" xfId="0" applyNumberFormat="1" applyFont="1" applyFill="1" applyBorder="1" applyAlignment="1" applyProtection="1">
      <alignment horizontal="right" vertical="center"/>
      <protection locked="0"/>
    </xf>
    <xf numFmtId="3" fontId="5" fillId="47" borderId="20" xfId="147" applyNumberFormat="1" applyFont="1" applyFill="1" applyBorder="1" applyAlignment="1" applyProtection="1">
      <alignment horizontal="right" vertical="center"/>
      <protection locked="0"/>
    </xf>
    <xf numFmtId="172" fontId="25" fillId="0" borderId="20" xfId="93" applyNumberFormat="1" applyFont="1" applyFill="1" applyBorder="1" applyAlignment="1" applyProtection="1">
      <alignment horizontal="center" vertical="center"/>
      <protection locked="0"/>
    </xf>
    <xf numFmtId="3" fontId="6" fillId="44" borderId="20" xfId="0" applyNumberFormat="1" applyFont="1" applyFill="1" applyBorder="1" applyAlignment="1" applyProtection="1">
      <alignment horizontal="right"/>
      <protection/>
    </xf>
    <xf numFmtId="3" fontId="5" fillId="48" borderId="20" xfId="0" applyNumberFormat="1" applyFont="1" applyFill="1" applyBorder="1" applyAlignment="1" applyProtection="1">
      <alignment horizontal="right" vertical="center"/>
      <protection/>
    </xf>
    <xf numFmtId="3" fontId="5" fillId="0" borderId="20" xfId="0" applyNumberFormat="1" applyFont="1" applyFill="1" applyBorder="1" applyAlignment="1" applyProtection="1">
      <alignment horizontal="right" vertical="center"/>
      <protection locked="0"/>
    </xf>
    <xf numFmtId="3" fontId="69"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locked="0"/>
    </xf>
    <xf numFmtId="49" fontId="7" fillId="0" borderId="26" xfId="135" applyNumberFormat="1" applyFont="1" applyFill="1" applyBorder="1" applyAlignment="1">
      <alignment vertical="center" wrapText="1"/>
      <protection/>
    </xf>
    <xf numFmtId="3" fontId="5" fillId="47" borderId="20" xfId="0" applyNumberFormat="1" applyFont="1" applyFill="1" applyBorder="1" applyAlignment="1" applyProtection="1">
      <alignment horizontal="center" vertical="center"/>
      <protection/>
    </xf>
    <xf numFmtId="3" fontId="24" fillId="47" borderId="20" xfId="0" applyNumberFormat="1" applyFont="1" applyFill="1" applyBorder="1" applyAlignment="1" applyProtection="1">
      <alignment horizontal="center" vertical="center"/>
      <protection/>
    </xf>
    <xf numFmtId="172" fontId="106" fillId="38" borderId="20" xfId="93" applyNumberFormat="1" applyFont="1" applyFill="1" applyBorder="1" applyAlignment="1" applyProtection="1">
      <alignment horizontal="right" vertical="center" wrapText="1"/>
      <protection/>
    </xf>
    <xf numFmtId="3" fontId="30" fillId="47" borderId="20" xfId="0" applyNumberFormat="1" applyFont="1" applyFill="1" applyBorder="1" applyAlignment="1" applyProtection="1">
      <alignment horizontal="right" vertical="center"/>
      <protection/>
    </xf>
    <xf numFmtId="3" fontId="30" fillId="0" borderId="20" xfId="0" applyNumberFormat="1" applyFont="1" applyFill="1" applyBorder="1" applyAlignment="1" applyProtection="1">
      <alignment horizontal="right" vertical="center"/>
      <protection/>
    </xf>
    <xf numFmtId="3" fontId="5" fillId="51" borderId="20" xfId="0" applyNumberFormat="1" applyFont="1" applyFill="1" applyBorder="1" applyAlignment="1" applyProtection="1">
      <alignment horizontal="right" vertical="center"/>
      <protection/>
    </xf>
    <xf numFmtId="3" fontId="6" fillId="47" borderId="20" xfId="0" applyNumberFormat="1" applyFont="1" applyFill="1" applyBorder="1" applyAlignment="1" applyProtection="1">
      <alignment horizontal="right" vertical="center"/>
      <protection/>
    </xf>
    <xf numFmtId="3" fontId="30" fillId="0" borderId="20" xfId="135" applyNumberFormat="1" applyFont="1" applyFill="1" applyBorder="1" applyAlignment="1" applyProtection="1">
      <alignment horizontal="right" vertical="center"/>
      <protection/>
    </xf>
    <xf numFmtId="172" fontId="30" fillId="0" borderId="20" xfId="93" applyNumberFormat="1" applyFont="1" applyFill="1" applyBorder="1" applyAlignment="1" applyProtection="1">
      <alignment horizontal="right" vertical="center" wrapText="1"/>
      <protection/>
    </xf>
    <xf numFmtId="174" fontId="30" fillId="47" borderId="20" xfId="0" applyNumberFormat="1" applyFont="1" applyFill="1" applyBorder="1" applyAlignment="1" applyProtection="1">
      <alignment horizontal="right" vertical="center"/>
      <protection locked="0"/>
    </xf>
    <xf numFmtId="3" fontId="30" fillId="47" borderId="20" xfId="0" applyNumberFormat="1" applyFont="1" applyFill="1" applyBorder="1" applyAlignment="1" applyProtection="1">
      <alignment horizontal="right" vertical="center"/>
      <protection/>
    </xf>
    <xf numFmtId="0" fontId="5" fillId="48" borderId="20" xfId="0" applyNumberFormat="1" applyFont="1" applyFill="1" applyBorder="1" applyAlignment="1" applyProtection="1">
      <alignment horizontal="right" vertical="center"/>
      <protection/>
    </xf>
    <xf numFmtId="0" fontId="5" fillId="0" borderId="20" xfId="0" applyNumberFormat="1" applyFont="1" applyFill="1" applyBorder="1" applyAlignment="1" applyProtection="1">
      <alignment horizontal="right" vertical="center"/>
      <protection/>
    </xf>
    <xf numFmtId="49" fontId="6" fillId="0" borderId="41" xfId="135" applyNumberFormat="1" applyFont="1" applyFill="1" applyBorder="1" applyAlignment="1">
      <alignment horizontal="right" vertical="center" wrapText="1"/>
      <protection/>
    </xf>
    <xf numFmtId="49" fontId="6" fillId="0" borderId="25" xfId="135" applyNumberFormat="1" applyFont="1" applyFill="1" applyBorder="1" applyAlignment="1">
      <alignment horizontal="right" vertical="center" wrapText="1"/>
      <protection/>
    </xf>
    <xf numFmtId="172" fontId="5" fillId="0" borderId="20" xfId="93" applyNumberFormat="1" applyFont="1" applyFill="1" applyBorder="1" applyAlignment="1" applyProtection="1">
      <alignment horizontal="right" vertical="center" wrapText="1"/>
      <protection/>
    </xf>
    <xf numFmtId="0" fontId="114" fillId="0" borderId="20" xfId="0" applyNumberFormat="1" applyFont="1" applyFill="1" applyBorder="1" applyAlignment="1" applyProtection="1">
      <alignment horizontal="right" vertical="center"/>
      <protection/>
    </xf>
    <xf numFmtId="3" fontId="1" fillId="47" borderId="20" xfId="0" applyNumberFormat="1" applyFont="1" applyFill="1" applyBorder="1" applyAlignment="1" applyProtection="1">
      <alignment horizontal="center" vertical="center"/>
      <protection/>
    </xf>
    <xf numFmtId="3" fontId="113" fillId="47" borderId="20" xfId="0" applyNumberFormat="1" applyFont="1" applyFill="1" applyBorder="1" applyAlignment="1" applyProtection="1">
      <alignment horizontal="center" vertical="center"/>
      <protection/>
    </xf>
    <xf numFmtId="3" fontId="24" fillId="47" borderId="20" xfId="146" applyNumberFormat="1" applyFont="1" applyFill="1" applyBorder="1" applyAlignment="1" applyProtection="1">
      <alignment horizontal="center" vertical="center"/>
      <protection/>
    </xf>
    <xf numFmtId="3" fontId="24" fillId="47" borderId="20" xfId="0" applyNumberFormat="1" applyFont="1" applyFill="1" applyBorder="1" applyAlignment="1">
      <alignment horizontal="center"/>
    </xf>
    <xf numFmtId="3" fontId="1" fillId="47" borderId="20" xfId="146" applyNumberFormat="1" applyFont="1" applyFill="1" applyBorder="1" applyAlignment="1" applyProtection="1">
      <alignment horizontal="center" vertical="center"/>
      <protection/>
    </xf>
    <xf numFmtId="3" fontId="114" fillId="47" borderId="20" xfId="0" applyNumberFormat="1" applyFont="1" applyFill="1" applyBorder="1" applyAlignment="1" applyProtection="1">
      <alignment horizontal="center" vertical="center"/>
      <protection/>
    </xf>
    <xf numFmtId="3" fontId="24" fillId="47" borderId="20" xfId="0" applyNumberFormat="1" applyFont="1" applyFill="1" applyBorder="1" applyAlignment="1">
      <alignment horizontal="center" vertical="center"/>
    </xf>
    <xf numFmtId="9" fontId="6" fillId="50" borderId="20" xfId="93" applyNumberFormat="1" applyFont="1" applyFill="1" applyBorder="1" applyAlignment="1" applyProtection="1">
      <alignment horizontal="right" vertical="center" wrapText="1"/>
      <protection/>
    </xf>
    <xf numFmtId="10" fontId="6" fillId="50" borderId="0" xfId="0" applyNumberFormat="1" applyFont="1" applyFill="1" applyAlignment="1">
      <alignment vertical="center"/>
    </xf>
    <xf numFmtId="9" fontId="6" fillId="34" borderId="20" xfId="93" applyNumberFormat="1" applyFont="1" applyFill="1" applyBorder="1" applyAlignment="1" applyProtection="1">
      <alignment horizontal="right" vertical="center" wrapText="1"/>
      <protection/>
    </xf>
    <xf numFmtId="10" fontId="6" fillId="34" borderId="0" xfId="0" applyNumberFormat="1" applyFont="1" applyFill="1" applyAlignment="1">
      <alignment vertical="center"/>
    </xf>
    <xf numFmtId="9" fontId="6" fillId="26" borderId="20" xfId="93" applyNumberFormat="1" applyFont="1" applyFill="1" applyBorder="1" applyAlignment="1" applyProtection="1">
      <alignment horizontal="right" vertical="center" wrapText="1"/>
      <protection/>
    </xf>
    <xf numFmtId="10" fontId="6" fillId="26" borderId="0" xfId="0" applyNumberFormat="1" applyFont="1" applyFill="1" applyAlignment="1">
      <alignment vertical="center"/>
    </xf>
    <xf numFmtId="9" fontId="6" fillId="52" borderId="20" xfId="93" applyNumberFormat="1" applyFont="1" applyFill="1" applyBorder="1" applyAlignment="1" applyProtection="1">
      <alignment horizontal="right" vertical="center" wrapText="1"/>
      <protection/>
    </xf>
    <xf numFmtId="10" fontId="6" fillId="52" borderId="0" xfId="0" applyNumberFormat="1" applyFont="1" applyFill="1" applyAlignment="1">
      <alignment vertical="center"/>
    </xf>
    <xf numFmtId="9" fontId="6" fillId="53" borderId="20" xfId="93" applyNumberFormat="1" applyFont="1" applyFill="1" applyBorder="1" applyAlignment="1" applyProtection="1">
      <alignment horizontal="right" vertical="center" wrapText="1"/>
      <protection/>
    </xf>
    <xf numFmtId="10" fontId="6" fillId="54" borderId="0" xfId="0" applyNumberFormat="1" applyFont="1" applyFill="1" applyAlignment="1">
      <alignment vertical="center"/>
    </xf>
    <xf numFmtId="9" fontId="6" fillId="16" borderId="20" xfId="93" applyNumberFormat="1" applyFont="1" applyFill="1" applyBorder="1" applyAlignment="1" applyProtection="1">
      <alignment horizontal="right" vertical="center" wrapText="1"/>
      <protection/>
    </xf>
    <xf numFmtId="10" fontId="6" fillId="16" borderId="0" xfId="0" applyNumberFormat="1" applyFont="1" applyFill="1" applyAlignment="1">
      <alignment vertical="center"/>
    </xf>
    <xf numFmtId="9" fontId="6" fillId="55" borderId="20" xfId="93" applyNumberFormat="1" applyFont="1" applyFill="1" applyBorder="1" applyAlignment="1" applyProtection="1">
      <alignment horizontal="right" vertical="center" wrapText="1"/>
      <protection/>
    </xf>
    <xf numFmtId="10" fontId="6" fillId="55" borderId="0" xfId="0" applyNumberFormat="1" applyFont="1" applyFill="1" applyAlignment="1">
      <alignment vertical="center"/>
    </xf>
    <xf numFmtId="9" fontId="6" fillId="10" borderId="20" xfId="93" applyNumberFormat="1" applyFont="1" applyFill="1" applyBorder="1" applyAlignment="1" applyProtection="1">
      <alignment horizontal="right" vertical="center" wrapText="1"/>
      <protection/>
    </xf>
    <xf numFmtId="10" fontId="6" fillId="10" borderId="0" xfId="0" applyNumberFormat="1" applyFont="1" applyFill="1" applyAlignment="1">
      <alignment vertical="center"/>
    </xf>
    <xf numFmtId="10" fontId="6" fillId="34" borderId="0" xfId="0" applyNumberFormat="1" applyFont="1" applyFill="1" applyAlignment="1">
      <alignment/>
    </xf>
    <xf numFmtId="10" fontId="6" fillId="56" borderId="0" xfId="0" applyNumberFormat="1" applyFont="1" applyFill="1" applyAlignment="1">
      <alignment/>
    </xf>
    <xf numFmtId="10" fontId="6" fillId="57" borderId="0" xfId="0" applyNumberFormat="1" applyFont="1" applyFill="1" applyAlignment="1">
      <alignment/>
    </xf>
    <xf numFmtId="10" fontId="6" fillId="58" borderId="0" xfId="0" applyNumberFormat="1" applyFont="1" applyFill="1" applyAlignment="1">
      <alignment/>
    </xf>
    <xf numFmtId="10" fontId="6" fillId="59" borderId="0" xfId="0" applyNumberFormat="1" applyFont="1" applyFill="1" applyAlignment="1">
      <alignment/>
    </xf>
    <xf numFmtId="10" fontId="6" fillId="60" borderId="0" xfId="0" applyNumberFormat="1" applyFont="1" applyFill="1" applyAlignment="1">
      <alignment/>
    </xf>
    <xf numFmtId="10" fontId="6" fillId="15" borderId="0" xfId="0" applyNumberFormat="1" applyFont="1" applyFill="1" applyAlignment="1">
      <alignment/>
    </xf>
    <xf numFmtId="10" fontId="6" fillId="54" borderId="0" xfId="0" applyNumberFormat="1" applyFont="1" applyFill="1" applyAlignment="1">
      <alignment/>
    </xf>
    <xf numFmtId="10" fontId="6" fillId="61" borderId="0" xfId="0" applyNumberFormat="1" applyFont="1" applyFill="1" applyAlignment="1">
      <alignment/>
    </xf>
    <xf numFmtId="10" fontId="6" fillId="62"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42"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8" fillId="0" borderId="25" xfId="136" applyNumberFormat="1" applyFont="1" applyFill="1" applyBorder="1" applyAlignment="1">
      <alignment horizontal="center" vertical="center" wrapText="1"/>
      <protection/>
    </xf>
    <xf numFmtId="49" fontId="29" fillId="0" borderId="0" xfId="136" applyNumberFormat="1" applyFont="1" applyAlignment="1">
      <alignment horizontal="center" wrapText="1"/>
      <protection/>
    </xf>
    <xf numFmtId="49" fontId="25" fillId="0" borderId="0" xfId="136" applyNumberFormat="1" applyFont="1" applyAlignment="1">
      <alignment horizontal="center"/>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49" fontId="31" fillId="0" borderId="0" xfId="136" applyNumberFormat="1" applyFont="1" applyBorder="1" applyAlignment="1">
      <alignment horizontal="center" wrapText="1"/>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0" fontId="56" fillId="3" borderId="26" xfId="136" applyNumberFormat="1" applyFont="1" applyFill="1" applyBorder="1" applyAlignment="1">
      <alignment horizontal="center" vertical="center" wrapText="1"/>
      <protection/>
    </xf>
    <xf numFmtId="0" fontId="56" fillId="3" borderId="25" xfId="136" applyNumberFormat="1" applyFont="1" applyFill="1" applyBorder="1" applyAlignment="1">
      <alignment horizontal="center" vertical="center" wrapText="1"/>
      <protection/>
    </xf>
    <xf numFmtId="0" fontId="16" fillId="0" borderId="20" xfId="136" applyNumberFormat="1" applyFont="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3" xfId="136" applyNumberFormat="1" applyFont="1" applyBorder="1" applyAlignment="1">
      <alignment horizontal="center" vertical="center" wrapText="1"/>
      <protection/>
    </xf>
    <xf numFmtId="49" fontId="7" fillId="0" borderId="26" xfId="136" applyNumberFormat="1" applyFont="1" applyBorder="1" applyAlignment="1">
      <alignment horizontal="center" vertical="center" wrapText="1"/>
      <protection/>
    </xf>
    <xf numFmtId="49" fontId="7" fillId="0" borderId="41"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33" fillId="0" borderId="0" xfId="136" applyNumberFormat="1" applyFont="1" applyAlignment="1">
      <alignment horizontal="center"/>
      <protection/>
    </xf>
    <xf numFmtId="49" fontId="0" fillId="0" borderId="0" xfId="136" applyNumberFormat="1" applyFont="1" applyAlignment="1">
      <alignment horizontal="left"/>
      <protection/>
    </xf>
    <xf numFmtId="49" fontId="3" fillId="0" borderId="0" xfId="136" applyNumberFormat="1" applyFont="1" applyBorder="1" applyAlignment="1">
      <alignment horizontal="left"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4" fillId="47" borderId="42" xfId="136" applyNumberFormat="1" applyFont="1" applyFill="1" applyBorder="1" applyAlignment="1" applyProtection="1">
      <alignment horizontal="center" vertical="center" wrapText="1"/>
      <protection/>
    </xf>
    <xf numFmtId="3" fontId="34"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5" fillId="0" borderId="0" xfId="136" applyNumberFormat="1" applyFont="1" applyBorder="1" applyAlignment="1">
      <alignment horizontal="center" wrapText="1"/>
      <protection/>
    </xf>
    <xf numFmtId="49" fontId="40" fillId="0" borderId="0" xfId="136" applyNumberFormat="1" applyFont="1" applyBorder="1" applyAlignment="1">
      <alignment horizontal="center" wrapText="1"/>
      <protection/>
    </xf>
    <xf numFmtId="49" fontId="0" fillId="0" borderId="0" xfId="136" applyNumberFormat="1" applyFont="1" applyBorder="1" applyAlignment="1">
      <alignment horizontal="left"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1"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1"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68" fillId="3" borderId="26" xfId="136" applyNumberFormat="1" applyFont="1" applyFill="1" applyBorder="1" applyAlignment="1">
      <alignment horizontal="center" vertical="center" wrapText="1"/>
      <protection/>
    </xf>
    <xf numFmtId="49" fontId="68"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3"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2"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 fillId="0" borderId="0" xfId="136" applyNumberFormat="1" applyFont="1" applyAlignment="1">
      <alignment horizontal="left" wrapText="1"/>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3"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31"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18" fillId="0" borderId="0" xfId="136" applyNumberFormat="1" applyFont="1" applyBorder="1" applyAlignment="1">
      <alignment horizontal="left"/>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9" fillId="0" borderId="0" xfId="136" applyNumberFormat="1" applyFont="1" applyBorder="1" applyAlignment="1">
      <alignment horizontal="center" wrapText="1"/>
      <protection/>
    </xf>
    <xf numFmtId="49" fontId="56" fillId="3" borderId="26" xfId="136" applyNumberFormat="1" applyFont="1" applyFill="1" applyBorder="1" applyAlignment="1">
      <alignment horizontal="center" wrapText="1"/>
      <protection/>
    </xf>
    <xf numFmtId="49" fontId="56" fillId="3" borderId="25" xfId="136" applyNumberFormat="1" applyFont="1" applyFill="1" applyBorder="1" applyAlignment="1">
      <alignment horizontal="center" wrapText="1"/>
      <protection/>
    </xf>
    <xf numFmtId="49" fontId="29" fillId="0" borderId="0" xfId="136" applyNumberFormat="1" applyFont="1" applyAlignment="1">
      <alignment horizontal="center"/>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0" fillId="0" borderId="0" xfId="136" applyNumberFormat="1" applyFont="1" applyAlignment="1">
      <alignment horizontal="left" wrapText="1"/>
      <protection/>
    </xf>
    <xf numFmtId="49" fontId="20" fillId="0" borderId="20" xfId="136" applyNumberFormat="1" applyFont="1" applyFill="1" applyBorder="1" applyAlignment="1">
      <alignment horizontal="center" vertical="center" wrapText="1"/>
      <protection/>
    </xf>
    <xf numFmtId="49" fontId="3" fillId="0" borderId="20" xfId="136" applyNumberFormat="1" applyFont="1" applyBorder="1" applyAlignment="1">
      <alignment horizontal="center"/>
      <protection/>
    </xf>
    <xf numFmtId="49" fontId="3" fillId="0" borderId="20" xfId="136" applyNumberFormat="1" applyFont="1" applyFill="1" applyBorder="1" applyAlignment="1">
      <alignment horizontal="center" vertical="center" wrapText="1"/>
      <protection/>
    </xf>
    <xf numFmtId="49" fontId="76" fillId="4" borderId="21" xfId="139" applyNumberFormat="1" applyFont="1" applyFill="1" applyBorder="1" applyAlignment="1">
      <alignment horizontal="center" vertical="center" wrapText="1"/>
      <protection/>
    </xf>
    <xf numFmtId="49" fontId="76" fillId="4" borderId="42" xfId="139" applyNumberFormat="1" applyFont="1" applyFill="1" applyBorder="1" applyAlignment="1">
      <alignment horizontal="center" vertical="center" wrapText="1"/>
      <protection/>
    </xf>
    <xf numFmtId="49" fontId="76"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4" fillId="0" borderId="26" xfId="139" applyNumberFormat="1" applyFont="1" applyBorder="1" applyAlignment="1">
      <alignment horizontal="center" vertical="center" wrapText="1"/>
      <protection/>
    </xf>
    <xf numFmtId="49" fontId="84" fillId="0" borderId="25" xfId="139" applyNumberFormat="1" applyFont="1" applyBorder="1" applyAlignment="1">
      <alignment horizontal="center" vertical="center" wrapText="1"/>
      <protection/>
    </xf>
    <xf numFmtId="49" fontId="31" fillId="0" borderId="0" xfId="139" applyNumberFormat="1" applyFont="1" applyBorder="1" applyAlignment="1">
      <alignment horizontal="center" wrapText="1"/>
      <protection/>
    </xf>
    <xf numFmtId="49" fontId="6" fillId="0" borderId="41"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1" fillId="0" borderId="0" xfId="139" applyNumberFormat="1" applyFont="1" applyBorder="1" applyAlignment="1">
      <alignment horizontal="center"/>
      <protection/>
    </xf>
    <xf numFmtId="49" fontId="86" fillId="3" borderId="26" xfId="139" applyNumberFormat="1" applyFont="1" applyFill="1" applyBorder="1" applyAlignment="1">
      <alignment horizontal="center" vertical="center" wrapText="1"/>
      <protection/>
    </xf>
    <xf numFmtId="49" fontId="86" fillId="3" borderId="25" xfId="139" applyNumberFormat="1" applyFont="1" applyFill="1" applyBorder="1" applyAlignment="1">
      <alignment horizontal="center" vertical="center" wrapText="1"/>
      <protection/>
    </xf>
    <xf numFmtId="49" fontId="29" fillId="0" borderId="0" xfId="139" applyNumberFormat="1" applyFont="1" applyAlignment="1">
      <alignment horizontal="center"/>
      <protection/>
    </xf>
    <xf numFmtId="0" fontId="25" fillId="47" borderId="0" xfId="139" applyFont="1" applyFill="1" applyBorder="1" applyAlignment="1">
      <alignment horizontal="center"/>
      <protection/>
    </xf>
    <xf numFmtId="49" fontId="31"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3"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3"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88"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6" fillId="0" borderId="41" xfId="139" applyFont="1" applyBorder="1" applyAlignment="1">
      <alignment horizontal="center" vertical="center"/>
      <protection/>
    </xf>
    <xf numFmtId="0" fontId="6" fillId="0" borderId="25" xfId="139" applyFont="1" applyBorder="1" applyAlignment="1">
      <alignment horizontal="center" vertical="center"/>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31" fillId="0" borderId="0" xfId="139" applyNumberFormat="1" applyFont="1" applyBorder="1" applyAlignment="1">
      <alignment horizontal="center"/>
      <protection/>
    </xf>
    <xf numFmtId="0" fontId="31" fillId="0" borderId="0" xfId="139" applyFont="1" applyBorder="1" applyAlignment="1">
      <alignment horizontal="center" wrapText="1"/>
      <protection/>
    </xf>
    <xf numFmtId="0" fontId="25" fillId="0" borderId="0" xfId="139" applyFont="1" applyBorder="1" applyAlignment="1">
      <alignment horizontal="center" wrapText="1"/>
      <protection/>
    </xf>
    <xf numFmtId="0" fontId="68" fillId="3" borderId="26" xfId="139" applyFont="1" applyFill="1" applyBorder="1" applyAlignment="1">
      <alignment horizontal="center" vertical="center" wrapText="1"/>
      <protection/>
    </xf>
    <xf numFmtId="0" fontId="68"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3"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3" xfId="139" applyFont="1" applyBorder="1" applyAlignment="1">
      <alignment horizontal="center" vertical="center" wrapText="1"/>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6" fillId="0" borderId="26" xfId="139" applyFont="1" applyBorder="1" applyAlignment="1">
      <alignment horizontal="center" vertical="center"/>
      <protection/>
    </xf>
    <xf numFmtId="49" fontId="19" fillId="0" borderId="22" xfId="139" applyNumberFormat="1" applyFont="1" applyBorder="1" applyAlignment="1">
      <alignment horizontal="center"/>
      <protection/>
    </xf>
    <xf numFmtId="49" fontId="74"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9"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7" fillId="3" borderId="26" xfId="139" applyNumberFormat="1" applyFont="1" applyFill="1" applyBorder="1" applyAlignment="1">
      <alignment horizontal="center" vertical="center" wrapText="1"/>
      <protection/>
    </xf>
    <xf numFmtId="49" fontId="77" fillId="3" borderId="25" xfId="139" applyNumberFormat="1" applyFont="1" applyFill="1" applyBorder="1" applyAlignment="1">
      <alignment horizontal="center" vertical="center" wrapText="1"/>
      <protection/>
    </xf>
    <xf numFmtId="49" fontId="75" fillId="3" borderId="26" xfId="139" applyNumberFormat="1" applyFont="1" applyFill="1" applyBorder="1" applyAlignment="1">
      <alignment horizontal="center" vertical="center" wrapText="1"/>
      <protection/>
    </xf>
    <xf numFmtId="49" fontId="75"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42"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1"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1"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90" fillId="3" borderId="26" xfId="139" applyNumberFormat="1" applyFont="1" applyFill="1" applyBorder="1" applyAlignment="1">
      <alignment horizontal="center" vertical="center" wrapText="1"/>
      <protection/>
    </xf>
    <xf numFmtId="49" fontId="90" fillId="3" borderId="25" xfId="139" applyNumberFormat="1" applyFont="1" applyFill="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0" fontId="82" fillId="0" borderId="41" xfId="139" applyFont="1" applyFill="1" applyBorder="1" applyAlignment="1">
      <alignment horizontal="center" vertical="center" wrapText="1"/>
      <protection/>
    </xf>
    <xf numFmtId="0" fontId="82" fillId="0" borderId="25" xfId="139"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3" xfId="139" applyNumberFormat="1" applyFont="1" applyFill="1" applyBorder="1" applyAlignment="1">
      <alignment horizontal="center" vertical="center" wrapText="1"/>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6" fillId="0" borderId="41"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49" fontId="13" fillId="0" borderId="22" xfId="139" applyNumberFormat="1" applyFont="1" applyFill="1" applyBorder="1" applyAlignment="1">
      <alignment horizontal="center" vertic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90" fillId="3" borderId="26" xfId="139" applyNumberFormat="1" applyFont="1" applyFill="1" applyBorder="1" applyAlignment="1">
      <alignment horizontal="center" vertical="center"/>
      <protection/>
    </xf>
    <xf numFmtId="49" fontId="90" fillId="3" borderId="25" xfId="139" applyNumberFormat="1" applyFont="1" applyFill="1" applyBorder="1" applyAlignment="1">
      <alignment horizontal="center" vertical="center"/>
      <protection/>
    </xf>
    <xf numFmtId="49" fontId="29" fillId="0" borderId="0" xfId="139" applyNumberFormat="1" applyFont="1" applyAlignment="1">
      <alignment horizontal="center"/>
      <protection/>
    </xf>
    <xf numFmtId="49" fontId="18" fillId="0" borderId="0" xfId="139" applyNumberFormat="1" applyFont="1" applyFill="1" applyBorder="1" applyAlignment="1">
      <alignment horizontal="left"/>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9"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3"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1"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3"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1" xfId="0" applyNumberFormat="1" applyFont="1" applyFill="1" applyBorder="1" applyAlignment="1">
      <alignment horizontal="left"/>
    </xf>
    <xf numFmtId="49" fontId="100" fillId="47" borderId="25" xfId="0" applyNumberFormat="1" applyFont="1" applyFill="1" applyBorder="1" applyAlignment="1">
      <alignment horizontal="left"/>
    </xf>
    <xf numFmtId="49" fontId="7" fillId="0" borderId="0"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xf>
    <xf numFmtId="49" fontId="7" fillId="0" borderId="0" xfId="0" applyNumberFormat="1" applyFont="1" applyFill="1" applyAlignment="1">
      <alignment horizontal="center" vertical="center" wrapText="1"/>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0" fontId="29" fillId="0" borderId="0"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21" xfId="0" applyNumberFormat="1" applyFont="1" applyFill="1" applyBorder="1" applyAlignment="1" applyProtection="1">
      <alignment horizontal="center" vertical="center" wrapText="1"/>
      <protection/>
    </xf>
    <xf numFmtId="49" fontId="7" fillId="0" borderId="42" xfId="0" applyNumberFormat="1" applyFont="1" applyFill="1" applyBorder="1" applyAlignment="1" applyProtection="1">
      <alignment horizontal="center" vertical="center" wrapText="1"/>
      <protection/>
    </xf>
    <xf numFmtId="49" fontId="7" fillId="0" borderId="23" xfId="0" applyNumberFormat="1" applyFont="1" applyFill="1" applyBorder="1" applyAlignment="1" applyProtection="1">
      <alignment horizontal="center" vertical="center" wrapText="1"/>
      <protection/>
    </xf>
    <xf numFmtId="49" fontId="7" fillId="0" borderId="26" xfId="0" applyNumberFormat="1" applyFont="1" applyFill="1" applyBorder="1" applyAlignment="1" applyProtection="1">
      <alignment horizontal="center" vertical="center" wrapText="1"/>
      <protection/>
    </xf>
    <xf numFmtId="49" fontId="7" fillId="0" borderId="41" xfId="0" applyNumberFormat="1" applyFont="1" applyFill="1" applyBorder="1" applyAlignment="1" applyProtection="1">
      <alignment horizontal="center" vertical="center" wrapText="1"/>
      <protection/>
    </xf>
    <xf numFmtId="49" fontId="7" fillId="0" borderId="25"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2"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7" fillId="0" borderId="42" xfId="0" applyNumberFormat="1" applyFont="1" applyFill="1" applyBorder="1" applyAlignment="1">
      <alignment horizontal="center" vertical="center" wrapText="1"/>
    </xf>
    <xf numFmtId="1" fontId="7" fillId="0" borderId="26" xfId="0" applyNumberFormat="1" applyFont="1" applyFill="1" applyBorder="1" applyAlignment="1">
      <alignment horizontal="center" vertical="center"/>
    </xf>
    <xf numFmtId="1" fontId="7" fillId="0" borderId="41" xfId="0" applyNumberFormat="1" applyFont="1" applyFill="1" applyBorder="1" applyAlignment="1">
      <alignment horizontal="center" vertical="center"/>
    </xf>
    <xf numFmtId="1" fontId="7" fillId="0" borderId="25"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7" fillId="0" borderId="46" xfId="0" applyNumberFormat="1" applyFont="1" applyFill="1" applyBorder="1" applyAlignment="1" applyProtection="1">
      <alignment horizontal="center" vertical="center" wrapText="1"/>
      <protection/>
    </xf>
    <xf numFmtId="0" fontId="29" fillId="0" borderId="0" xfId="0" applyNumberFormat="1" applyFont="1" applyFill="1" applyAlignment="1">
      <alignment horizontal="center"/>
    </xf>
    <xf numFmtId="0" fontId="29" fillId="0" borderId="0" xfId="0" applyNumberFormat="1" applyFont="1" applyFill="1" applyAlignment="1">
      <alignment horizontal="left"/>
    </xf>
    <xf numFmtId="0" fontId="29" fillId="0" borderId="0" xfId="0" applyNumberFormat="1" applyFont="1" applyFill="1" applyAlignment="1">
      <alignment horizontal="center" wrapText="1"/>
    </xf>
    <xf numFmtId="172" fontId="18" fillId="0" borderId="19" xfId="93" applyNumberFormat="1" applyFont="1" applyFill="1" applyBorder="1" applyAlignment="1" applyProtection="1">
      <alignment horizontal="center" vertical="center"/>
      <protection/>
    </xf>
    <xf numFmtId="0" fontId="25" fillId="0" borderId="0" xfId="0" applyNumberFormat="1" applyFont="1" applyFill="1" applyAlignment="1">
      <alignment horizontal="center"/>
    </xf>
    <xf numFmtId="49" fontId="4" fillId="0" borderId="26" xfId="0" applyNumberFormat="1" applyFont="1" applyFill="1" applyBorder="1" applyAlignment="1" applyProtection="1">
      <alignment horizontal="center" vertical="center" wrapText="1"/>
      <protection/>
    </xf>
    <xf numFmtId="49" fontId="4" fillId="0" borderId="2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23"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16" fillId="0" borderId="46" xfId="0" applyNumberFormat="1" applyFont="1" applyFill="1" applyBorder="1" applyAlignment="1" applyProtection="1">
      <alignment horizontal="center" vertical="center" wrapText="1"/>
      <protection/>
    </xf>
    <xf numFmtId="49" fontId="16" fillId="0" borderId="25"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6" fillId="0" borderId="0"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0" fontId="0" fillId="0" borderId="0" xfId="0" applyNumberFormat="1" applyFont="1" applyFill="1" applyAlignment="1">
      <alignment horizontal="center"/>
    </xf>
    <xf numFmtId="0" fontId="12" fillId="0" borderId="48"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3" fillId="0" borderId="50"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172" fontId="23" fillId="0" borderId="0" xfId="93" applyNumberFormat="1" applyFont="1" applyFill="1" applyBorder="1" applyAlignment="1" applyProtection="1">
      <alignment horizontal="left" vertical="center"/>
      <protection/>
    </xf>
    <xf numFmtId="49" fontId="12" fillId="0" borderId="20" xfId="0" applyNumberFormat="1" applyFont="1" applyFill="1" applyBorder="1" applyAlignment="1">
      <alignment horizontal="center" vertical="center" wrapText="1"/>
    </xf>
    <xf numFmtId="49" fontId="24" fillId="0" borderId="0" xfId="0" applyNumberFormat="1" applyFont="1" applyFill="1" applyAlignment="1">
      <alignment horizontal="left"/>
    </xf>
    <xf numFmtId="0" fontId="103"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49" fontId="12" fillId="0" borderId="20" xfId="0" applyNumberFormat="1" applyFont="1" applyFill="1" applyBorder="1" applyAlignment="1" applyProtection="1">
      <alignment horizontal="center" vertical="center" wrapText="1"/>
      <protection/>
    </xf>
    <xf numFmtId="49" fontId="12" fillId="0" borderId="0" xfId="0" applyNumberFormat="1" applyFont="1" applyFill="1" applyAlignment="1">
      <alignment horizontal="center"/>
    </xf>
    <xf numFmtId="49" fontId="12" fillId="0" borderId="0" xfId="0" applyNumberFormat="1" applyFont="1" applyFill="1" applyAlignment="1">
      <alignment horizontal="center" wrapText="1"/>
    </xf>
    <xf numFmtId="0" fontId="74" fillId="0" borderId="0" xfId="0" applyNumberFormat="1" applyFont="1" applyFill="1" applyAlignment="1">
      <alignment horizontal="center"/>
    </xf>
    <xf numFmtId="49" fontId="12" fillId="0" borderId="49" xfId="0" applyNumberFormat="1" applyFont="1" applyFill="1" applyBorder="1" applyAlignment="1">
      <alignment horizontal="center" vertical="center" wrapText="1"/>
    </xf>
    <xf numFmtId="1" fontId="12" fillId="0" borderId="49" xfId="0" applyNumberFormat="1" applyFont="1" applyFill="1" applyBorder="1" applyAlignment="1">
      <alignment horizontal="center" vertical="center"/>
    </xf>
    <xf numFmtId="49" fontId="12" fillId="0" borderId="49" xfId="0" applyNumberFormat="1" applyFont="1" applyFill="1" applyBorder="1" applyAlignment="1" applyProtection="1">
      <alignment horizontal="center" vertical="center" wrapText="1"/>
      <protection/>
    </xf>
    <xf numFmtId="49" fontId="3" fillId="0" borderId="26" xfId="0" applyNumberFormat="1" applyFont="1" applyFill="1" applyBorder="1" applyAlignment="1" applyProtection="1">
      <alignment horizontal="left" vertical="center"/>
      <protection locked="0"/>
    </xf>
    <xf numFmtId="49" fontId="3" fillId="0" borderId="41" xfId="0" applyNumberFormat="1" applyFont="1" applyFill="1" applyBorder="1" applyAlignment="1" applyProtection="1">
      <alignment horizontal="left" vertical="center"/>
      <protection locked="0"/>
    </xf>
    <xf numFmtId="49" fontId="3" fillId="0" borderId="25" xfId="0" applyNumberFormat="1" applyFont="1" applyFill="1" applyBorder="1" applyAlignment="1" applyProtection="1">
      <alignment horizontal="left" vertical="center"/>
      <protection locked="0"/>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4" fillId="0" borderId="39" xfId="0" applyNumberFormat="1" applyFont="1" applyFill="1" applyBorder="1" applyAlignment="1" applyProtection="1">
      <alignment horizontal="center" vertical="center" wrapText="1"/>
      <protection/>
    </xf>
    <xf numFmtId="49" fontId="74"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center" vertical="center"/>
    </xf>
    <xf numFmtId="49" fontId="12" fillId="0" borderId="51" xfId="0" applyNumberFormat="1" applyFont="1" applyFill="1" applyBorder="1" applyAlignment="1" applyProtection="1">
      <alignment horizontal="center" vertical="center" wrapText="1"/>
      <protection/>
    </xf>
    <xf numFmtId="49" fontId="12" fillId="0" borderId="38" xfId="0" applyNumberFormat="1" applyFont="1" applyFill="1" applyBorder="1" applyAlignment="1" applyProtection="1">
      <alignment horizontal="center" vertical="center" wrapText="1"/>
      <protection/>
    </xf>
    <xf numFmtId="0" fontId="24" fillId="0" borderId="0" xfId="0" applyNumberFormat="1" applyFont="1" applyFill="1" applyBorder="1" applyAlignment="1">
      <alignment horizontal="center" vertical="center"/>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049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049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95" t="s">
        <v>26</v>
      </c>
      <c r="B1" s="595"/>
      <c r="C1" s="592" t="s">
        <v>70</v>
      </c>
      <c r="D1" s="592"/>
      <c r="E1" s="592"/>
      <c r="F1" s="596" t="s">
        <v>66</v>
      </c>
      <c r="G1" s="596"/>
      <c r="H1" s="596"/>
    </row>
    <row r="2" spans="1:8" ht="33.75" customHeight="1">
      <c r="A2" s="597" t="s">
        <v>73</v>
      </c>
      <c r="B2" s="597"/>
      <c r="C2" s="592"/>
      <c r="D2" s="592"/>
      <c r="E2" s="592"/>
      <c r="F2" s="589" t="s">
        <v>67</v>
      </c>
      <c r="G2" s="589"/>
      <c r="H2" s="589"/>
    </row>
    <row r="3" spans="1:8" ht="19.5" customHeight="1">
      <c r="A3" s="6" t="s">
        <v>61</v>
      </c>
      <c r="B3" s="6"/>
      <c r="C3" s="24"/>
      <c r="D3" s="24"/>
      <c r="E3" s="24"/>
      <c r="F3" s="589" t="s">
        <v>68</v>
      </c>
      <c r="G3" s="589"/>
      <c r="H3" s="589"/>
    </row>
    <row r="4" spans="1:8" s="7" customFormat="1" ht="19.5" customHeight="1">
      <c r="A4" s="6"/>
      <c r="B4" s="6"/>
      <c r="D4" s="8"/>
      <c r="F4" s="9" t="s">
        <v>69</v>
      </c>
      <c r="G4" s="9"/>
      <c r="H4" s="9"/>
    </row>
    <row r="5" spans="1:8" s="23" customFormat="1" ht="36" customHeight="1">
      <c r="A5" s="608" t="s">
        <v>53</v>
      </c>
      <c r="B5" s="609"/>
      <c r="C5" s="612" t="s">
        <v>64</v>
      </c>
      <c r="D5" s="613"/>
      <c r="E5" s="614" t="s">
        <v>63</v>
      </c>
      <c r="F5" s="614"/>
      <c r="G5" s="614"/>
      <c r="H5" s="591"/>
    </row>
    <row r="6" spans="1:8" s="23" customFormat="1" ht="20.25" customHeight="1">
      <c r="A6" s="610"/>
      <c r="B6" s="611"/>
      <c r="C6" s="593" t="s">
        <v>3</v>
      </c>
      <c r="D6" s="593" t="s">
        <v>71</v>
      </c>
      <c r="E6" s="590" t="s">
        <v>65</v>
      </c>
      <c r="F6" s="591"/>
      <c r="G6" s="590" t="s">
        <v>72</v>
      </c>
      <c r="H6" s="591"/>
    </row>
    <row r="7" spans="1:8" s="23" customFormat="1" ht="52.5" customHeight="1">
      <c r="A7" s="610"/>
      <c r="B7" s="611"/>
      <c r="C7" s="594"/>
      <c r="D7" s="594"/>
      <c r="E7" s="5" t="s">
        <v>3</v>
      </c>
      <c r="F7" s="5" t="s">
        <v>9</v>
      </c>
      <c r="G7" s="5" t="s">
        <v>3</v>
      </c>
      <c r="H7" s="5" t="s">
        <v>9</v>
      </c>
    </row>
    <row r="8" spans="1:8" ht="15" customHeight="1">
      <c r="A8" s="599" t="s">
        <v>6</v>
      </c>
      <c r="B8" s="600"/>
      <c r="C8" s="10">
        <v>1</v>
      </c>
      <c r="D8" s="10" t="s">
        <v>44</v>
      </c>
      <c r="E8" s="10" t="s">
        <v>45</v>
      </c>
      <c r="F8" s="10" t="s">
        <v>54</v>
      </c>
      <c r="G8" s="10" t="s">
        <v>55</v>
      </c>
      <c r="H8" s="10" t="s">
        <v>56</v>
      </c>
    </row>
    <row r="9" spans="1:8" ht="26.25" customHeight="1">
      <c r="A9" s="601" t="s">
        <v>33</v>
      </c>
      <c r="B9" s="60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03" t="s">
        <v>52</v>
      </c>
      <c r="C16" s="603"/>
      <c r="D16" s="26"/>
      <c r="E16" s="605" t="s">
        <v>19</v>
      </c>
      <c r="F16" s="605"/>
      <c r="G16" s="605"/>
      <c r="H16" s="605"/>
    </row>
    <row r="17" spans="2:8" ht="15.75" customHeight="1">
      <c r="B17" s="603"/>
      <c r="C17" s="603"/>
      <c r="D17" s="26"/>
      <c r="E17" s="606" t="s">
        <v>38</v>
      </c>
      <c r="F17" s="606"/>
      <c r="G17" s="606"/>
      <c r="H17" s="606"/>
    </row>
    <row r="18" spans="2:8" s="27" customFormat="1" ht="15.75" customHeight="1">
      <c r="B18" s="603"/>
      <c r="C18" s="603"/>
      <c r="D18" s="28"/>
      <c r="E18" s="607" t="s">
        <v>51</v>
      </c>
      <c r="F18" s="607"/>
      <c r="G18" s="607"/>
      <c r="H18" s="607"/>
    </row>
    <row r="20" ht="15.75">
      <c r="B20" s="19"/>
    </row>
    <row r="22" ht="15.75" hidden="1">
      <c r="A22" s="20" t="s">
        <v>41</v>
      </c>
    </row>
    <row r="23" spans="1:3" ht="15.75" hidden="1">
      <c r="A23" s="21"/>
      <c r="B23" s="604" t="s">
        <v>46</v>
      </c>
      <c r="C23" s="604"/>
    </row>
    <row r="24" spans="1:8" ht="15.75" customHeight="1" hidden="1">
      <c r="A24" s="22" t="s">
        <v>25</v>
      </c>
      <c r="B24" s="598" t="s">
        <v>49</v>
      </c>
      <c r="C24" s="598"/>
      <c r="D24" s="22"/>
      <c r="E24" s="22"/>
      <c r="F24" s="22"/>
      <c r="G24" s="22"/>
      <c r="H24" s="22"/>
    </row>
    <row r="25" spans="1:8" ht="15" customHeight="1" hidden="1">
      <c r="A25" s="22"/>
      <c r="B25" s="598" t="s">
        <v>50</v>
      </c>
      <c r="C25" s="598"/>
      <c r="D25" s="598"/>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90" t="s">
        <v>212</v>
      </c>
      <c r="B1" s="790"/>
      <c r="C1" s="790"/>
      <c r="D1" s="793" t="s">
        <v>328</v>
      </c>
      <c r="E1" s="793"/>
      <c r="F1" s="793"/>
      <c r="G1" s="793"/>
      <c r="H1" s="793"/>
      <c r="I1" s="793"/>
      <c r="J1" s="191" t="s">
        <v>329</v>
      </c>
      <c r="K1" s="322"/>
      <c r="L1" s="322"/>
    </row>
    <row r="2" spans="1:12" ht="18.75" customHeight="1">
      <c r="A2" s="791" t="s">
        <v>287</v>
      </c>
      <c r="B2" s="791"/>
      <c r="C2" s="791"/>
      <c r="D2" s="881" t="s">
        <v>213</v>
      </c>
      <c r="E2" s="881"/>
      <c r="F2" s="881"/>
      <c r="G2" s="881"/>
      <c r="H2" s="881"/>
      <c r="I2" s="881"/>
      <c r="J2" s="790" t="s">
        <v>330</v>
      </c>
      <c r="K2" s="790"/>
      <c r="L2" s="790"/>
    </row>
    <row r="3" spans="1:12" ht="17.25">
      <c r="A3" s="791" t="s">
        <v>239</v>
      </c>
      <c r="B3" s="791"/>
      <c r="C3" s="791"/>
      <c r="D3" s="882" t="s">
        <v>331</v>
      </c>
      <c r="E3" s="883"/>
      <c r="F3" s="883"/>
      <c r="G3" s="883"/>
      <c r="H3" s="883"/>
      <c r="I3" s="883"/>
      <c r="J3" s="194" t="s">
        <v>347</v>
      </c>
      <c r="K3" s="194"/>
      <c r="L3" s="194"/>
    </row>
    <row r="4" spans="1:12" ht="15.75">
      <c r="A4" s="878" t="s">
        <v>332</v>
      </c>
      <c r="B4" s="878"/>
      <c r="C4" s="878"/>
      <c r="D4" s="879"/>
      <c r="E4" s="879"/>
      <c r="F4" s="879"/>
      <c r="G4" s="879"/>
      <c r="H4" s="879"/>
      <c r="I4" s="879"/>
      <c r="J4" s="807" t="s">
        <v>289</v>
      </c>
      <c r="K4" s="807"/>
      <c r="L4" s="807"/>
    </row>
    <row r="5" spans="1:13" ht="15.75">
      <c r="A5" s="324"/>
      <c r="B5" s="324"/>
      <c r="C5" s="325"/>
      <c r="D5" s="325"/>
      <c r="E5" s="193"/>
      <c r="J5" s="326" t="s">
        <v>333</v>
      </c>
      <c r="K5" s="241"/>
      <c r="L5" s="241"/>
      <c r="M5" s="241"/>
    </row>
    <row r="6" spans="1:13" s="329" customFormat="1" ht="24.75" customHeight="1">
      <c r="A6" s="872" t="s">
        <v>53</v>
      </c>
      <c r="B6" s="873"/>
      <c r="C6" s="870" t="s">
        <v>334</v>
      </c>
      <c r="D6" s="870"/>
      <c r="E6" s="870"/>
      <c r="F6" s="870"/>
      <c r="G6" s="870"/>
      <c r="H6" s="870"/>
      <c r="I6" s="870" t="s">
        <v>214</v>
      </c>
      <c r="J6" s="870"/>
      <c r="K6" s="870"/>
      <c r="L6" s="870"/>
      <c r="M6" s="328"/>
    </row>
    <row r="7" spans="1:13" s="329" customFormat="1" ht="17.25" customHeight="1">
      <c r="A7" s="874"/>
      <c r="B7" s="875"/>
      <c r="C7" s="870" t="s">
        <v>31</v>
      </c>
      <c r="D7" s="870"/>
      <c r="E7" s="870" t="s">
        <v>7</v>
      </c>
      <c r="F7" s="870"/>
      <c r="G7" s="870"/>
      <c r="H7" s="870"/>
      <c r="I7" s="870" t="s">
        <v>215</v>
      </c>
      <c r="J7" s="870"/>
      <c r="K7" s="870" t="s">
        <v>216</v>
      </c>
      <c r="L7" s="870"/>
      <c r="M7" s="328"/>
    </row>
    <row r="8" spans="1:12" s="329" customFormat="1" ht="27.75" customHeight="1">
      <c r="A8" s="874"/>
      <c r="B8" s="875"/>
      <c r="C8" s="870"/>
      <c r="D8" s="870"/>
      <c r="E8" s="870" t="s">
        <v>217</v>
      </c>
      <c r="F8" s="870"/>
      <c r="G8" s="870" t="s">
        <v>218</v>
      </c>
      <c r="H8" s="870"/>
      <c r="I8" s="870"/>
      <c r="J8" s="870"/>
      <c r="K8" s="870"/>
      <c r="L8" s="870"/>
    </row>
    <row r="9" spans="1:12" s="329" customFormat="1" ht="24.75" customHeight="1">
      <c r="A9" s="876"/>
      <c r="B9" s="877"/>
      <c r="C9" s="327" t="s">
        <v>219</v>
      </c>
      <c r="D9" s="327" t="s">
        <v>9</v>
      </c>
      <c r="E9" s="327" t="s">
        <v>3</v>
      </c>
      <c r="F9" s="327" t="s">
        <v>220</v>
      </c>
      <c r="G9" s="327" t="s">
        <v>3</v>
      </c>
      <c r="H9" s="327" t="s">
        <v>220</v>
      </c>
      <c r="I9" s="327" t="s">
        <v>3</v>
      </c>
      <c r="J9" s="327" t="s">
        <v>220</v>
      </c>
      <c r="K9" s="327" t="s">
        <v>3</v>
      </c>
      <c r="L9" s="327" t="s">
        <v>220</v>
      </c>
    </row>
    <row r="10" spans="1:12" s="331" customFormat="1" ht="15.75">
      <c r="A10" s="774" t="s">
        <v>6</v>
      </c>
      <c r="B10" s="775"/>
      <c r="C10" s="330">
        <v>1</v>
      </c>
      <c r="D10" s="330">
        <v>2</v>
      </c>
      <c r="E10" s="330">
        <v>3</v>
      </c>
      <c r="F10" s="330">
        <v>4</v>
      </c>
      <c r="G10" s="330">
        <v>5</v>
      </c>
      <c r="H10" s="330">
        <v>6</v>
      </c>
      <c r="I10" s="330">
        <v>7</v>
      </c>
      <c r="J10" s="330">
        <v>8</v>
      </c>
      <c r="K10" s="330">
        <v>9</v>
      </c>
      <c r="L10" s="330">
        <v>10</v>
      </c>
    </row>
    <row r="11" spans="1:12" s="331" customFormat="1" ht="30.75" customHeight="1">
      <c r="A11" s="782" t="s">
        <v>284</v>
      </c>
      <c r="B11" s="783"/>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87" t="s">
        <v>285</v>
      </c>
      <c r="B12" s="788"/>
      <c r="C12" s="249">
        <v>0</v>
      </c>
      <c r="D12" s="249">
        <v>0</v>
      </c>
      <c r="E12" s="249">
        <v>0</v>
      </c>
      <c r="F12" s="249">
        <v>0</v>
      </c>
      <c r="G12" s="249">
        <v>0</v>
      </c>
      <c r="H12" s="249">
        <v>0</v>
      </c>
      <c r="I12" s="249">
        <v>0</v>
      </c>
      <c r="J12" s="249">
        <v>0</v>
      </c>
      <c r="K12" s="249">
        <v>0</v>
      </c>
      <c r="L12" s="249">
        <v>0</v>
      </c>
    </row>
    <row r="13" spans="1:32" s="331" customFormat="1" ht="17.25" customHeight="1">
      <c r="A13" s="768" t="s">
        <v>30</v>
      </c>
      <c r="B13" s="769"/>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85" t="s">
        <v>272</v>
      </c>
      <c r="C28" s="785"/>
      <c r="D28" s="785"/>
      <c r="E28" s="204"/>
      <c r="F28" s="258"/>
      <c r="G28" s="258"/>
      <c r="H28" s="784" t="s">
        <v>272</v>
      </c>
      <c r="I28" s="784"/>
      <c r="J28" s="784"/>
      <c r="K28" s="784"/>
      <c r="L28" s="784"/>
      <c r="AG28" s="192" t="s">
        <v>273</v>
      </c>
      <c r="AI28" s="190">
        <f>82/88</f>
        <v>0.9318181818181818</v>
      </c>
    </row>
    <row r="29" spans="1:12" s="192" customFormat="1" ht="19.5" customHeight="1">
      <c r="A29" s="202"/>
      <c r="B29" s="786" t="s">
        <v>221</v>
      </c>
      <c r="C29" s="786"/>
      <c r="D29" s="786"/>
      <c r="E29" s="204"/>
      <c r="F29" s="205"/>
      <c r="G29" s="205"/>
      <c r="H29" s="789" t="s">
        <v>139</v>
      </c>
      <c r="I29" s="789"/>
      <c r="J29" s="789"/>
      <c r="K29" s="789"/>
      <c r="L29" s="789"/>
    </row>
    <row r="30" spans="1:12" s="196" customFormat="1" ht="15" customHeight="1">
      <c r="A30" s="202"/>
      <c r="B30" s="871"/>
      <c r="C30" s="871"/>
      <c r="D30" s="871"/>
      <c r="E30" s="204"/>
      <c r="F30" s="205"/>
      <c r="G30" s="205"/>
      <c r="H30" s="743"/>
      <c r="I30" s="743"/>
      <c r="J30" s="743"/>
      <c r="K30" s="743"/>
      <c r="L30" s="74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69" t="s">
        <v>276</v>
      </c>
      <c r="C33" s="869"/>
      <c r="D33" s="869"/>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80" t="s">
        <v>222</v>
      </c>
      <c r="C37" s="880"/>
      <c r="D37" s="880"/>
      <c r="E37" s="880"/>
      <c r="F37" s="880"/>
      <c r="G37" s="880"/>
      <c r="H37" s="880"/>
      <c r="I37" s="880"/>
      <c r="J37" s="880"/>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15" t="s">
        <v>318</v>
      </c>
      <c r="C41" s="615"/>
      <c r="D41" s="615"/>
      <c r="E41" s="210"/>
      <c r="F41" s="210"/>
      <c r="G41" s="182"/>
      <c r="H41" s="616" t="s">
        <v>230</v>
      </c>
      <c r="I41" s="616"/>
      <c r="J41" s="616"/>
      <c r="K41" s="616"/>
      <c r="L41" s="616"/>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84" t="s">
        <v>360</v>
      </c>
      <c r="M1" s="885"/>
      <c r="N1" s="885"/>
      <c r="O1" s="365"/>
      <c r="P1" s="365"/>
      <c r="Q1" s="365"/>
      <c r="R1" s="365"/>
      <c r="S1" s="365"/>
      <c r="T1" s="365"/>
      <c r="U1" s="365"/>
      <c r="V1" s="365"/>
      <c r="W1" s="365"/>
      <c r="X1" s="365"/>
      <c r="Y1" s="366"/>
    </row>
    <row r="2" spans="11:17" ht="34.5" customHeight="1">
      <c r="K2" s="349"/>
      <c r="L2" s="886" t="s">
        <v>367</v>
      </c>
      <c r="M2" s="887"/>
      <c r="N2" s="888"/>
      <c r="O2" s="29"/>
      <c r="P2" s="351"/>
      <c r="Q2" s="347"/>
    </row>
    <row r="3" spans="11:18" ht="31.5" customHeight="1">
      <c r="K3" s="349"/>
      <c r="L3" s="354" t="s">
        <v>376</v>
      </c>
      <c r="M3" s="355">
        <f>'06'!C11</f>
        <v>5259</v>
      </c>
      <c r="N3" s="355"/>
      <c r="O3" s="355"/>
      <c r="P3" s="352"/>
      <c r="Q3" s="348"/>
      <c r="R3" s="345"/>
    </row>
    <row r="4" spans="11:18" ht="30" customHeight="1">
      <c r="K4" s="349"/>
      <c r="L4" s="356" t="s">
        <v>361</v>
      </c>
      <c r="M4" s="357">
        <f>'06'!D11</f>
        <v>1425</v>
      </c>
      <c r="N4" s="355"/>
      <c r="O4" s="355"/>
      <c r="P4" s="352"/>
      <c r="Q4" s="348"/>
      <c r="R4" s="345"/>
    </row>
    <row r="5" spans="11:18" ht="31.5" customHeight="1">
      <c r="K5" s="349"/>
      <c r="L5" s="356" t="s">
        <v>362</v>
      </c>
      <c r="M5" s="357">
        <f>'06'!E11</f>
        <v>3834</v>
      </c>
      <c r="N5" s="355"/>
      <c r="O5" s="355"/>
      <c r="P5" s="352"/>
      <c r="Q5" s="348"/>
      <c r="R5" s="345"/>
    </row>
    <row r="6" spans="11:18" ht="27" customHeight="1">
      <c r="K6" s="349"/>
      <c r="L6" s="354" t="s">
        <v>363</v>
      </c>
      <c r="M6" s="355">
        <f>'06'!F11</f>
        <v>54</v>
      </c>
      <c r="N6" s="355"/>
      <c r="O6" s="355"/>
      <c r="P6" s="352"/>
      <c r="Q6" s="348"/>
      <c r="R6" s="345"/>
    </row>
    <row r="7" spans="11:18" s="342" customFormat="1" ht="30" customHeight="1">
      <c r="K7" s="350"/>
      <c r="L7" s="358" t="s">
        <v>378</v>
      </c>
      <c r="M7" s="355">
        <f>'06'!H11</f>
        <v>5205</v>
      </c>
      <c r="N7" s="355"/>
      <c r="O7" s="355"/>
      <c r="P7" s="352"/>
      <c r="Q7" s="348"/>
      <c r="R7" s="345"/>
    </row>
    <row r="8" spans="11:18" ht="30.75" customHeight="1">
      <c r="K8" s="349"/>
      <c r="L8" s="359" t="s">
        <v>377</v>
      </c>
      <c r="M8" s="360">
        <f>'[7]M6 Tong hop Viec CHV '!$C$12</f>
        <v>1489</v>
      </c>
      <c r="N8" s="355"/>
      <c r="O8" s="355"/>
      <c r="P8" s="352"/>
      <c r="Q8" s="348"/>
      <c r="R8" s="345"/>
    </row>
    <row r="9" spans="11:18" ht="33" customHeight="1">
      <c r="K9" s="349"/>
      <c r="L9" s="367" t="s">
        <v>380</v>
      </c>
      <c r="M9" s="368">
        <f>(M7-M8)/M8</f>
        <v>2.495634654130289</v>
      </c>
      <c r="N9" s="355"/>
      <c r="O9" s="355"/>
      <c r="P9" s="352"/>
      <c r="Q9" s="348"/>
      <c r="R9" s="345"/>
    </row>
    <row r="10" spans="11:18" ht="33" customHeight="1">
      <c r="K10" s="349"/>
      <c r="L10" s="354" t="s">
        <v>379</v>
      </c>
      <c r="M10" s="355">
        <f>'06'!I11</f>
        <v>3953</v>
      </c>
      <c r="N10" s="355" t="s">
        <v>364</v>
      </c>
      <c r="O10" s="361">
        <f>M10/M7</f>
        <v>0.7594620557156581</v>
      </c>
      <c r="P10" s="352"/>
      <c r="Q10" s="348"/>
      <c r="R10" s="345"/>
    </row>
    <row r="11" spans="11:18" ht="22.5" customHeight="1">
      <c r="K11" s="349"/>
      <c r="L11" s="354" t="s">
        <v>381</v>
      </c>
      <c r="M11" s="355">
        <f>'06'!Q11</f>
        <v>1252</v>
      </c>
      <c r="N11" s="355" t="s">
        <v>364</v>
      </c>
      <c r="O11" s="361">
        <f>M11/M7</f>
        <v>0.24053794428434197</v>
      </c>
      <c r="P11" s="352"/>
      <c r="Q11" s="348"/>
      <c r="R11" s="345"/>
    </row>
    <row r="12" spans="11:18" ht="34.5" customHeight="1">
      <c r="K12" s="349"/>
      <c r="L12" s="354" t="s">
        <v>382</v>
      </c>
      <c r="M12" s="355">
        <f>'06'!J11+'06'!K11</f>
        <v>3409</v>
      </c>
      <c r="N12" s="354"/>
      <c r="O12" s="354"/>
      <c r="P12" s="346"/>
      <c r="R12" s="346"/>
    </row>
    <row r="13" spans="11:18" ht="33.75" customHeight="1">
      <c r="K13" s="349"/>
      <c r="L13" s="354" t="s">
        <v>383</v>
      </c>
      <c r="M13" s="361">
        <f>M12/M7</f>
        <v>0.6549471661863593</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384</v>
      </c>
      <c r="M16" s="360">
        <f>'[7]M6 Tong hop Viec CHV '!$H$12+'[7]M6 Tong hop Viec CHV '!$I$12+'[7]M6 Tong hop Viec CHV '!$K$12</f>
        <v>749</v>
      </c>
      <c r="N16" s="355"/>
      <c r="O16" s="355"/>
      <c r="P16" s="352"/>
      <c r="R16" s="346"/>
    </row>
    <row r="17" spans="11:18" ht="24.75" customHeight="1">
      <c r="K17" s="349"/>
      <c r="L17" s="367" t="s">
        <v>385</v>
      </c>
      <c r="M17" s="362">
        <f>M16/M8</f>
        <v>0.5030221625251847</v>
      </c>
      <c r="N17" s="355"/>
      <c r="O17" s="355"/>
      <c r="P17" s="352"/>
      <c r="R17" s="346"/>
    </row>
    <row r="18" spans="11:18" ht="26.25" customHeight="1">
      <c r="K18" s="349"/>
      <c r="L18" s="367" t="s">
        <v>365</v>
      </c>
      <c r="M18" s="368">
        <f>M13-M17</f>
        <v>0.15192500366117456</v>
      </c>
      <c r="N18" s="355"/>
      <c r="O18" s="355"/>
      <c r="P18" s="352"/>
      <c r="R18" s="346"/>
    </row>
    <row r="19" spans="11:18" ht="24.75" customHeight="1">
      <c r="K19" s="349"/>
      <c r="L19" s="354" t="s">
        <v>386</v>
      </c>
      <c r="M19" s="355">
        <f>'06'!J11</f>
        <v>3346</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387</v>
      </c>
      <c r="M26" s="361">
        <f>M19/'06'!I11</f>
        <v>0.8464457374146218</v>
      </c>
      <c r="N26" s="355"/>
      <c r="O26" s="355"/>
      <c r="P26" s="352"/>
      <c r="R26" s="346"/>
    </row>
    <row r="27" spans="11:18" ht="24.75" customHeight="1">
      <c r="K27" s="349"/>
      <c r="L27" s="359" t="s">
        <v>388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389</v>
      </c>
      <c r="M30" s="361">
        <f>M26-M27</f>
        <v>0.17378386691102465</v>
      </c>
      <c r="N30" s="355"/>
      <c r="O30" s="355"/>
      <c r="P30" s="352"/>
      <c r="R30" s="346"/>
    </row>
    <row r="31" spans="11:18" ht="24.75" customHeight="1">
      <c r="K31" s="349"/>
      <c r="L31" s="354" t="s">
        <v>390</v>
      </c>
      <c r="M31" s="355">
        <f>'06'!R11</f>
        <v>1796</v>
      </c>
      <c r="N31" s="355"/>
      <c r="O31" s="355"/>
      <c r="P31" s="352"/>
      <c r="R31" s="346"/>
    </row>
    <row r="32" spans="11:18" ht="24.75" customHeight="1">
      <c r="K32" s="349"/>
      <c r="L32" s="359" t="s">
        <v>391</v>
      </c>
      <c r="M32" s="360">
        <f>'[7]M6 Tong hop Viec CHV '!$R$12</f>
        <v>719</v>
      </c>
      <c r="N32" s="355"/>
      <c r="O32" s="355"/>
      <c r="P32" s="352"/>
      <c r="R32" s="346"/>
    </row>
    <row r="33" spans="11:18" ht="24.75" customHeight="1">
      <c r="K33" s="349"/>
      <c r="L33" s="367" t="s">
        <v>392</v>
      </c>
      <c r="M33" s="369">
        <f>M31-M32</f>
        <v>1077</v>
      </c>
      <c r="N33" s="369" t="s">
        <v>366</v>
      </c>
      <c r="O33" s="368">
        <f>(M31-M32)/M32</f>
        <v>1.497913769123783</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393</v>
      </c>
      <c r="M42" s="355">
        <f>'07'!C11</f>
        <v>121883085</v>
      </c>
      <c r="N42" s="355"/>
      <c r="O42" s="355"/>
      <c r="P42" s="346"/>
      <c r="R42" s="346"/>
    </row>
    <row r="43" spans="11:18" ht="24.75" customHeight="1">
      <c r="K43" s="349"/>
      <c r="L43" s="363" t="s">
        <v>96</v>
      </c>
      <c r="M43" s="355">
        <f>'07'!D11</f>
        <v>78414739</v>
      </c>
      <c r="N43" s="355"/>
      <c r="O43" s="355"/>
      <c r="P43" s="346"/>
      <c r="R43" s="346"/>
    </row>
    <row r="44" spans="11:18" ht="24.75" customHeight="1">
      <c r="K44" s="349"/>
      <c r="L44" s="363" t="s">
        <v>362</v>
      </c>
      <c r="M44" s="355">
        <f>'07'!E11</f>
        <v>43468346</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394</v>
      </c>
      <c r="M47" s="355">
        <f>'07'!F11</f>
        <v>3704384</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395</v>
      </c>
      <c r="M50" s="355">
        <f>'07'!H11</f>
        <v>118178701</v>
      </c>
      <c r="N50" s="355"/>
      <c r="O50" s="355"/>
      <c r="P50" s="346"/>
      <c r="R50" s="346"/>
    </row>
    <row r="51" spans="11:18" ht="24.75" customHeight="1">
      <c r="K51" s="349"/>
      <c r="L51" s="364" t="s">
        <v>396</v>
      </c>
      <c r="M51" s="360">
        <f>'[7]M7 Thop tien CHV'!$C$12</f>
        <v>54227822.442</v>
      </c>
      <c r="N51" s="355"/>
      <c r="O51" s="355"/>
      <c r="P51" s="346"/>
      <c r="R51" s="346"/>
    </row>
    <row r="52" spans="11:18" ht="24.75" customHeight="1">
      <c r="K52" s="349"/>
      <c r="L52" s="377" t="s">
        <v>369</v>
      </c>
      <c r="M52" s="369">
        <f>M50-M51</f>
        <v>63950878.558</v>
      </c>
      <c r="N52" s="355"/>
      <c r="O52" s="355"/>
      <c r="P52" s="346"/>
      <c r="R52" s="346"/>
    </row>
    <row r="53" spans="11:18" ht="24.75" customHeight="1">
      <c r="K53" s="349"/>
      <c r="L53" s="377" t="s">
        <v>370</v>
      </c>
      <c r="M53" s="368">
        <f>(M52/M51)</f>
        <v>1.17930013926706</v>
      </c>
      <c r="N53" s="355"/>
      <c r="O53" s="355"/>
      <c r="P53" s="346"/>
      <c r="R53" s="346"/>
    </row>
    <row r="54" spans="11:18" ht="24.75" customHeight="1">
      <c r="K54" s="349"/>
      <c r="L54" s="363" t="s">
        <v>397</v>
      </c>
      <c r="M54" s="355">
        <f>'07'!I11</f>
        <v>68945961</v>
      </c>
      <c r="N54" s="355" t="s">
        <v>371</v>
      </c>
      <c r="O54" s="361">
        <f>'07'!I11/'07'!H11</f>
        <v>0.5834042887305049</v>
      </c>
      <c r="P54" s="346"/>
      <c r="R54" s="346"/>
    </row>
    <row r="55" spans="11:18" ht="24.75" customHeight="1">
      <c r="K55" s="349"/>
      <c r="L55" s="363" t="s">
        <v>398</v>
      </c>
      <c r="M55" s="355">
        <f>'07'!R11</f>
        <v>49232740</v>
      </c>
      <c r="N55" s="355" t="s">
        <v>371</v>
      </c>
      <c r="O55" s="361">
        <f>'07'!R11/'07'!H11</f>
        <v>0.4165957112694952</v>
      </c>
      <c r="P55" s="346"/>
      <c r="R55" s="346"/>
    </row>
    <row r="56" spans="11:18" ht="24.75" customHeight="1">
      <c r="K56" s="349"/>
      <c r="L56" s="363" t="s">
        <v>399</v>
      </c>
      <c r="M56" s="355">
        <f>'07'!J11+'07'!K11+'07'!L11</f>
        <v>18762987</v>
      </c>
      <c r="N56" s="355" t="s">
        <v>371</v>
      </c>
      <c r="O56" s="361">
        <f>M56/'07'!H11</f>
        <v>0.15876792384103122</v>
      </c>
      <c r="P56" s="346"/>
      <c r="R56" s="346"/>
    </row>
    <row r="57" spans="11:18" ht="24.75" customHeight="1">
      <c r="K57" s="349"/>
      <c r="L57" s="364" t="s">
        <v>400</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401</v>
      </c>
      <c r="M60" s="368">
        <f>O56-O57</f>
        <v>0.11787145409301589</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402</v>
      </c>
      <c r="M63" s="355">
        <f>'07'!J11</f>
        <v>13451989</v>
      </c>
      <c r="N63" s="355" t="s">
        <v>372</v>
      </c>
      <c r="O63" s="361">
        <f>'07'!J11/'07'!I11</f>
        <v>0.19510916672841794</v>
      </c>
      <c r="P63" s="346"/>
      <c r="R63" s="346"/>
    </row>
    <row r="64" spans="11:16" ht="24.75" customHeight="1">
      <c r="K64" s="349"/>
      <c r="L64" s="364" t="s">
        <v>403</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404</v>
      </c>
      <c r="M68" s="368">
        <f>O63-O64</f>
        <v>0.18086566540860427</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405</v>
      </c>
      <c r="M72" s="355">
        <f>'07'!S11</f>
        <v>99415714</v>
      </c>
      <c r="N72" s="355"/>
      <c r="O72" s="355"/>
      <c r="P72" s="346"/>
    </row>
    <row r="73" spans="11:16" ht="24.75" customHeight="1">
      <c r="K73" s="349"/>
      <c r="L73" s="364" t="s">
        <v>406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51288903.638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1.0657033626831982</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sheetPr>
    <tabColor indexed="19"/>
  </sheetPr>
  <dimension ref="A1:Z72"/>
  <sheetViews>
    <sheetView showZeros="0" zoomScaleSheetLayoutView="85" zoomScalePageLayoutView="0" workbookViewId="0" topLeftCell="A7">
      <pane xSplit="1" ySplit="5" topLeftCell="H54" activePane="bottomRight" state="frozen"/>
      <selection pane="topLeft" activeCell="A7" sqref="A7"/>
      <selection pane="topRight" activeCell="B7" sqref="B7"/>
      <selection pane="bottomLeft" activeCell="A12" sqref="A12"/>
      <selection pane="bottomRight" activeCell="Z11" sqref="Z11"/>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1" width="6.25390625" style="23" customWidth="1"/>
    <col min="12" max="12" width="5.75390625" style="23" customWidth="1"/>
    <col min="13" max="14" width="5.875" style="23" customWidth="1"/>
    <col min="15" max="15" width="6.125" style="23" customWidth="1"/>
    <col min="16" max="16" width="7.25390625" style="23" customWidth="1"/>
    <col min="17" max="17" width="7.50390625" style="23" customWidth="1"/>
    <col min="18" max="18" width="7.875" style="23" customWidth="1"/>
    <col min="19" max="19" width="8.25390625" style="23" customWidth="1"/>
    <col min="20" max="20" width="9.875" style="23" customWidth="1"/>
    <col min="21" max="21" width="11.875" style="23" customWidth="1"/>
    <col min="22" max="22" width="10.00390625" style="23" customWidth="1"/>
    <col min="23" max="23" width="10.50390625" style="23" customWidth="1"/>
    <col min="24" max="24" width="9.50390625" style="23" customWidth="1"/>
    <col min="25" max="25" width="10.25390625" style="23" customWidth="1"/>
    <col min="26" max="26" width="10.75390625" style="23" customWidth="1"/>
    <col min="27" max="16384" width="9.00390625" style="23" customWidth="1"/>
  </cols>
  <sheetData>
    <row r="1" spans="1:19" ht="20.25" customHeight="1">
      <c r="A1" s="388" t="s">
        <v>27</v>
      </c>
      <c r="B1" s="388"/>
      <c r="C1" s="388"/>
      <c r="E1" s="907" t="s">
        <v>62</v>
      </c>
      <c r="F1" s="907"/>
      <c r="G1" s="907"/>
      <c r="H1" s="907"/>
      <c r="I1" s="907"/>
      <c r="J1" s="907"/>
      <c r="K1" s="907"/>
      <c r="L1" s="907"/>
      <c r="M1" s="907"/>
      <c r="N1" s="907"/>
      <c r="O1" s="907"/>
      <c r="P1" s="379" t="s">
        <v>407</v>
      </c>
      <c r="Q1" s="379"/>
      <c r="R1" s="379"/>
      <c r="S1" s="379"/>
    </row>
    <row r="2" spans="1:19" ht="17.25" customHeight="1">
      <c r="A2" s="893" t="s">
        <v>226</v>
      </c>
      <c r="B2" s="893"/>
      <c r="C2" s="893"/>
      <c r="D2" s="893"/>
      <c r="E2" s="908" t="s">
        <v>34</v>
      </c>
      <c r="F2" s="908"/>
      <c r="G2" s="908"/>
      <c r="H2" s="908"/>
      <c r="I2" s="908"/>
      <c r="J2" s="908"/>
      <c r="K2" s="908"/>
      <c r="L2" s="908"/>
      <c r="M2" s="908"/>
      <c r="N2" s="908"/>
      <c r="O2" s="908"/>
      <c r="P2" s="894" t="e">
        <f>#REF!</f>
        <v>#REF!</v>
      </c>
      <c r="Q2" s="894"/>
      <c r="R2" s="894"/>
      <c r="S2" s="894"/>
    </row>
    <row r="3" spans="1:19" ht="19.5" customHeight="1">
      <c r="A3" s="893" t="s">
        <v>227</v>
      </c>
      <c r="B3" s="893"/>
      <c r="C3" s="893"/>
      <c r="D3" s="893"/>
      <c r="E3" s="909" t="e">
        <f>#REF!</f>
        <v>#REF!</v>
      </c>
      <c r="F3" s="909"/>
      <c r="G3" s="909"/>
      <c r="H3" s="909"/>
      <c r="I3" s="909"/>
      <c r="J3" s="909"/>
      <c r="K3" s="909"/>
      <c r="L3" s="909"/>
      <c r="M3" s="909"/>
      <c r="N3" s="909"/>
      <c r="O3" s="909"/>
      <c r="P3" s="379" t="s">
        <v>408</v>
      </c>
      <c r="Q3" s="388"/>
      <c r="R3" s="379"/>
      <c r="S3" s="379"/>
    </row>
    <row r="4" spans="1:19" ht="14.25" customHeight="1">
      <c r="A4" s="382" t="s">
        <v>105</v>
      </c>
      <c r="B4" s="388"/>
      <c r="C4" s="388"/>
      <c r="D4" s="388"/>
      <c r="E4" s="388"/>
      <c r="F4" s="388"/>
      <c r="G4" s="388"/>
      <c r="H4" s="388"/>
      <c r="I4" s="388"/>
      <c r="J4" s="388"/>
      <c r="K4" s="388"/>
      <c r="L4" s="388"/>
      <c r="M4" s="388"/>
      <c r="N4" s="391"/>
      <c r="O4" s="391"/>
      <c r="P4" s="917" t="s">
        <v>289</v>
      </c>
      <c r="Q4" s="917"/>
      <c r="R4" s="917"/>
      <c r="S4" s="917"/>
    </row>
    <row r="5" spans="2:19" ht="21.75" customHeight="1">
      <c r="B5" s="386"/>
      <c r="C5" s="386"/>
      <c r="Q5" s="392" t="s">
        <v>225</v>
      </c>
      <c r="R5" s="393"/>
      <c r="S5" s="393"/>
    </row>
    <row r="6" spans="1:19" ht="18.75" customHeight="1">
      <c r="A6" s="608" t="s">
        <v>53</v>
      </c>
      <c r="B6" s="609"/>
      <c r="C6" s="904" t="s">
        <v>106</v>
      </c>
      <c r="D6" s="905"/>
      <c r="E6" s="906"/>
      <c r="F6" s="910" t="s">
        <v>97</v>
      </c>
      <c r="G6" s="593" t="s">
        <v>107</v>
      </c>
      <c r="H6" s="914" t="s">
        <v>98</v>
      </c>
      <c r="I6" s="915"/>
      <c r="J6" s="915"/>
      <c r="K6" s="915"/>
      <c r="L6" s="915"/>
      <c r="M6" s="915"/>
      <c r="N6" s="915"/>
      <c r="O6" s="915"/>
      <c r="P6" s="915"/>
      <c r="Q6" s="916"/>
      <c r="R6" s="901" t="s">
        <v>231</v>
      </c>
      <c r="S6" s="901" t="s">
        <v>410</v>
      </c>
    </row>
    <row r="7" spans="1:26" s="379" customFormat="1" ht="18.75" customHeight="1">
      <c r="A7" s="610"/>
      <c r="B7" s="611"/>
      <c r="C7" s="901" t="s">
        <v>42</v>
      </c>
      <c r="D7" s="924" t="s">
        <v>7</v>
      </c>
      <c r="E7" s="925"/>
      <c r="F7" s="911"/>
      <c r="G7" s="913"/>
      <c r="H7" s="593" t="s">
        <v>98</v>
      </c>
      <c r="I7" s="904" t="s">
        <v>99</v>
      </c>
      <c r="J7" s="905"/>
      <c r="K7" s="905"/>
      <c r="L7" s="905"/>
      <c r="M7" s="905"/>
      <c r="N7" s="905"/>
      <c r="O7" s="905"/>
      <c r="P7" s="906"/>
      <c r="Q7" s="593" t="s">
        <v>103</v>
      </c>
      <c r="R7" s="902"/>
      <c r="S7" s="902"/>
      <c r="T7" s="890" t="s">
        <v>472</v>
      </c>
      <c r="U7" s="892" t="s">
        <v>473</v>
      </c>
      <c r="V7" s="889" t="s">
        <v>474</v>
      </c>
      <c r="W7" s="889" t="s">
        <v>475</v>
      </c>
      <c r="X7" s="889" t="s">
        <v>476</v>
      </c>
      <c r="Y7" s="889" t="s">
        <v>477</v>
      </c>
      <c r="Z7" s="889" t="s">
        <v>478</v>
      </c>
    </row>
    <row r="8" spans="1:26" ht="18.75" customHeight="1">
      <c r="A8" s="610"/>
      <c r="B8" s="611"/>
      <c r="C8" s="902"/>
      <c r="D8" s="926" t="s">
        <v>109</v>
      </c>
      <c r="E8" s="926" t="s">
        <v>110</v>
      </c>
      <c r="F8" s="911"/>
      <c r="G8" s="913"/>
      <c r="H8" s="913"/>
      <c r="I8" s="593" t="s">
        <v>409</v>
      </c>
      <c r="J8" s="924" t="s">
        <v>7</v>
      </c>
      <c r="K8" s="928"/>
      <c r="L8" s="928"/>
      <c r="M8" s="928"/>
      <c r="N8" s="928"/>
      <c r="O8" s="928"/>
      <c r="P8" s="925"/>
      <c r="Q8" s="913"/>
      <c r="R8" s="902"/>
      <c r="S8" s="902"/>
      <c r="T8" s="891"/>
      <c r="U8" s="892"/>
      <c r="V8" s="889"/>
      <c r="W8" s="889"/>
      <c r="X8" s="889"/>
      <c r="Y8" s="889"/>
      <c r="Z8" s="889"/>
    </row>
    <row r="9" spans="1:26" ht="134.25" customHeight="1">
      <c r="A9" s="898"/>
      <c r="B9" s="899"/>
      <c r="C9" s="903"/>
      <c r="D9" s="927"/>
      <c r="E9" s="927"/>
      <c r="F9" s="912"/>
      <c r="G9" s="900"/>
      <c r="H9" s="900"/>
      <c r="I9" s="900"/>
      <c r="J9" s="394" t="s">
        <v>111</v>
      </c>
      <c r="K9" s="394" t="s">
        <v>112</v>
      </c>
      <c r="L9" s="395" t="s">
        <v>100</v>
      </c>
      <c r="M9" s="395" t="s">
        <v>113</v>
      </c>
      <c r="N9" s="395" t="s">
        <v>101</v>
      </c>
      <c r="O9" s="395" t="s">
        <v>232</v>
      </c>
      <c r="P9" s="395" t="s">
        <v>102</v>
      </c>
      <c r="Q9" s="900"/>
      <c r="R9" s="903"/>
      <c r="S9" s="903"/>
      <c r="T9" s="891"/>
      <c r="U9" s="892"/>
      <c r="V9" s="889"/>
      <c r="W9" s="889"/>
      <c r="X9" s="889"/>
      <c r="Y9" s="889"/>
      <c r="Z9" s="889"/>
    </row>
    <row r="10" spans="1:21" ht="22.5" customHeight="1">
      <c r="A10" s="929" t="s">
        <v>6</v>
      </c>
      <c r="B10" s="930"/>
      <c r="C10" s="396">
        <v>1</v>
      </c>
      <c r="D10" s="396">
        <v>2</v>
      </c>
      <c r="E10" s="396">
        <v>3</v>
      </c>
      <c r="F10" s="396">
        <v>4</v>
      </c>
      <c r="G10" s="396">
        <v>5</v>
      </c>
      <c r="H10" s="396">
        <v>6</v>
      </c>
      <c r="I10" s="396">
        <v>7</v>
      </c>
      <c r="J10" s="396">
        <v>8</v>
      </c>
      <c r="K10" s="396">
        <v>9</v>
      </c>
      <c r="L10" s="396">
        <v>10</v>
      </c>
      <c r="M10" s="396">
        <v>11</v>
      </c>
      <c r="N10" s="396">
        <v>12</v>
      </c>
      <c r="O10" s="396">
        <v>13</v>
      </c>
      <c r="P10" s="396">
        <v>14</v>
      </c>
      <c r="Q10" s="396">
        <v>15</v>
      </c>
      <c r="R10" s="396">
        <v>16</v>
      </c>
      <c r="S10" s="397">
        <v>17</v>
      </c>
      <c r="T10" s="891"/>
      <c r="U10" s="892"/>
    </row>
    <row r="11" spans="1:26" ht="25.5" customHeight="1">
      <c r="A11" s="918" t="s">
        <v>30</v>
      </c>
      <c r="B11" s="906"/>
      <c r="C11" s="423">
        <f>C12+C24+C32+C39+C47+C51+C55+C58</f>
        <v>5259</v>
      </c>
      <c r="D11" s="423">
        <f>D12+D24+D32+D39+D47+D51+D55+D58</f>
        <v>1425</v>
      </c>
      <c r="E11" s="423">
        <f>E12+E24+E32+E39+E47+E51+E55+E58</f>
        <v>3834</v>
      </c>
      <c r="F11" s="423">
        <f>F12+F24+F32+F39+F47+F51+F55+F58</f>
        <v>54</v>
      </c>
      <c r="G11" s="423">
        <f>G12+G24+G32+G39+G47+G51+G55+G58</f>
        <v>7</v>
      </c>
      <c r="H11" s="423">
        <f>I11+Q11</f>
        <v>5205</v>
      </c>
      <c r="I11" s="423">
        <f aca="true" t="shared" si="0" ref="I11:R11">I12+I24+I32+I39+I47+I51+I55+I58</f>
        <v>3953</v>
      </c>
      <c r="J11" s="423">
        <f t="shared" si="0"/>
        <v>3346</v>
      </c>
      <c r="K11" s="423">
        <f t="shared" si="0"/>
        <v>63</v>
      </c>
      <c r="L11" s="427">
        <f t="shared" si="0"/>
        <v>482</v>
      </c>
      <c r="M11" s="423">
        <f t="shared" si="0"/>
        <v>35</v>
      </c>
      <c r="N11" s="423">
        <f t="shared" si="0"/>
        <v>0</v>
      </c>
      <c r="O11" s="423">
        <f t="shared" si="0"/>
        <v>0</v>
      </c>
      <c r="P11" s="423">
        <f t="shared" si="0"/>
        <v>27</v>
      </c>
      <c r="Q11" s="423">
        <f t="shared" si="0"/>
        <v>1252</v>
      </c>
      <c r="R11" s="423">
        <f t="shared" si="0"/>
        <v>1796</v>
      </c>
      <c r="S11" s="424">
        <f>SUM(J11:K11)/SUM(I11)*100%</f>
        <v>0.8623830002529724</v>
      </c>
      <c r="T11" s="563">
        <f>I11/H11</f>
        <v>0.7594620557156581</v>
      </c>
      <c r="U11" s="564">
        <f>(R11-Q11-344)/344</f>
        <v>0.5813953488372093</v>
      </c>
      <c r="V11" s="563">
        <f>(C11-4614)/4614</f>
        <v>0.1397919375812744</v>
      </c>
      <c r="W11" s="563">
        <f>(E11-3326)/3326</f>
        <v>0.15273601924233313</v>
      </c>
      <c r="X11" s="563">
        <f>(H11-4574)/4574</f>
        <v>0.13795365107127242</v>
      </c>
      <c r="Y11" s="563">
        <f>(I11-3467)/3467</f>
        <v>0.14017882895875397</v>
      </c>
      <c r="Z11" s="563">
        <f>(J11+K11-3021)/3021</f>
        <v>0.12843429328037073</v>
      </c>
    </row>
    <row r="12" spans="1:26" ht="15">
      <c r="A12" s="398" t="s">
        <v>0</v>
      </c>
      <c r="B12" s="378" t="s">
        <v>76</v>
      </c>
      <c r="C12" s="541">
        <f>D12+E12</f>
        <v>299</v>
      </c>
      <c r="D12" s="541">
        <f aca="true" t="shared" si="1" ref="D12:Q12">SUM(D13:D22)</f>
        <v>72</v>
      </c>
      <c r="E12" s="541">
        <f t="shared" si="1"/>
        <v>227</v>
      </c>
      <c r="F12" s="541">
        <f t="shared" si="1"/>
        <v>0</v>
      </c>
      <c r="G12" s="541">
        <f t="shared" si="1"/>
        <v>7</v>
      </c>
      <c r="H12" s="541">
        <f t="shared" si="1"/>
        <v>299</v>
      </c>
      <c r="I12" s="541">
        <f>SUM(I13:I22)</f>
        <v>138</v>
      </c>
      <c r="J12" s="541">
        <f t="shared" si="1"/>
        <v>131</v>
      </c>
      <c r="K12" s="541">
        <f t="shared" si="1"/>
        <v>0</v>
      </c>
      <c r="L12" s="541">
        <f t="shared" si="1"/>
        <v>7</v>
      </c>
      <c r="M12" s="541">
        <f t="shared" si="1"/>
        <v>0</v>
      </c>
      <c r="N12" s="541">
        <f t="shared" si="1"/>
        <v>0</v>
      </c>
      <c r="O12" s="541">
        <f t="shared" si="1"/>
        <v>0</v>
      </c>
      <c r="P12" s="541">
        <f t="shared" si="1"/>
        <v>0</v>
      </c>
      <c r="Q12" s="541">
        <f t="shared" si="1"/>
        <v>161</v>
      </c>
      <c r="R12" s="541">
        <f>SUM(R13:R22)</f>
        <v>168</v>
      </c>
      <c r="S12" s="436">
        <f aca="true" t="shared" si="2" ref="S12:S57">SUM(J12:K12)/SUM(I12)*100%</f>
        <v>0.9492753623188406</v>
      </c>
      <c r="T12" s="565">
        <f>I12/H12</f>
        <v>0.46153846153846156</v>
      </c>
      <c r="U12" s="566">
        <f>(R12-Q12-15)/15</f>
        <v>-0.5333333333333333</v>
      </c>
      <c r="V12" s="563">
        <f>(C12-144)/144</f>
        <v>1.0763888888888888</v>
      </c>
      <c r="W12" s="563">
        <f>(E12-76)/76</f>
        <v>1.986842105263158</v>
      </c>
      <c r="X12" s="563">
        <f>(H12-140)/140</f>
        <v>1.1357142857142857</v>
      </c>
      <c r="Y12" s="563">
        <f>(I12-84)/84</f>
        <v>0.6428571428571429</v>
      </c>
      <c r="Z12" s="563">
        <f>(J12+K12-61)/61</f>
        <v>1.1475409836065573</v>
      </c>
    </row>
    <row r="13" spans="1:19" ht="18.75" customHeight="1">
      <c r="A13" s="422" t="s">
        <v>43</v>
      </c>
      <c r="B13" s="415" t="s">
        <v>413</v>
      </c>
      <c r="C13" s="430">
        <f>D13+E13</f>
        <v>54</v>
      </c>
      <c r="D13" s="526">
        <v>17</v>
      </c>
      <c r="E13" s="472">
        <v>37</v>
      </c>
      <c r="F13" s="463"/>
      <c r="G13" s="542"/>
      <c r="H13" s="430">
        <f>I13+Q13</f>
        <v>54</v>
      </c>
      <c r="I13" s="430">
        <f>SUM(J13:P13)</f>
        <v>35</v>
      </c>
      <c r="J13" s="472">
        <v>35</v>
      </c>
      <c r="K13" s="472"/>
      <c r="L13" s="472">
        <v>0</v>
      </c>
      <c r="M13" s="463"/>
      <c r="N13" s="464"/>
      <c r="O13" s="464"/>
      <c r="P13" s="464"/>
      <c r="Q13" s="465">
        <v>19</v>
      </c>
      <c r="R13" s="430">
        <f>(C13-F13-J13-K13)</f>
        <v>19</v>
      </c>
      <c r="S13" s="437">
        <f t="shared" si="2"/>
        <v>1</v>
      </c>
    </row>
    <row r="14" spans="1:19" ht="18.75" customHeight="1">
      <c r="A14" s="422" t="s">
        <v>44</v>
      </c>
      <c r="B14" s="415" t="s">
        <v>414</v>
      </c>
      <c r="C14" s="430">
        <f aca="true" t="shared" si="3" ref="C14:C22">D14+E14</f>
        <v>35</v>
      </c>
      <c r="D14" s="526">
        <v>10</v>
      </c>
      <c r="E14" s="472">
        <v>25</v>
      </c>
      <c r="F14" s="463"/>
      <c r="G14" s="542"/>
      <c r="H14" s="430">
        <f>I14+Q14</f>
        <v>35</v>
      </c>
      <c r="I14" s="430">
        <f aca="true" t="shared" si="4" ref="I14:I22">SUM(J14:P14)</f>
        <v>23</v>
      </c>
      <c r="J14" s="472">
        <v>21</v>
      </c>
      <c r="K14" s="472">
        <v>0</v>
      </c>
      <c r="L14" s="472">
        <v>2</v>
      </c>
      <c r="M14" s="463"/>
      <c r="N14" s="464"/>
      <c r="O14" s="464"/>
      <c r="P14" s="464"/>
      <c r="Q14" s="465">
        <v>12</v>
      </c>
      <c r="R14" s="430">
        <f aca="true" t="shared" si="5" ref="R14:R22">(C14-F14-J14-K14)</f>
        <v>14</v>
      </c>
      <c r="S14" s="437">
        <f t="shared" si="2"/>
        <v>0.9130434782608695</v>
      </c>
    </row>
    <row r="15" spans="1:19" ht="18.75" customHeight="1">
      <c r="A15" s="422" t="s">
        <v>45</v>
      </c>
      <c r="B15" s="415" t="s">
        <v>422</v>
      </c>
      <c r="C15" s="430">
        <f t="shared" si="3"/>
        <v>118</v>
      </c>
      <c r="D15" s="526">
        <v>25</v>
      </c>
      <c r="E15" s="473">
        <v>93</v>
      </c>
      <c r="F15" s="474"/>
      <c r="G15" s="543">
        <v>7</v>
      </c>
      <c r="H15" s="430">
        <f aca="true" t="shared" si="6" ref="H15:H22">I15+Q15</f>
        <v>118</v>
      </c>
      <c r="I15" s="430">
        <f t="shared" si="4"/>
        <v>17</v>
      </c>
      <c r="J15" s="473">
        <v>13</v>
      </c>
      <c r="K15" s="473"/>
      <c r="L15" s="473">
        <v>4</v>
      </c>
      <c r="M15" s="474"/>
      <c r="N15" s="475"/>
      <c r="O15" s="475"/>
      <c r="P15" s="475"/>
      <c r="Q15" s="465">
        <v>101</v>
      </c>
      <c r="R15" s="430">
        <f t="shared" si="5"/>
        <v>105</v>
      </c>
      <c r="S15" s="437">
        <f t="shared" si="2"/>
        <v>0.7647058823529411</v>
      </c>
    </row>
    <row r="16" spans="1:19" ht="18.75" customHeight="1">
      <c r="A16" s="422" t="s">
        <v>54</v>
      </c>
      <c r="B16" s="415" t="s">
        <v>416</v>
      </c>
      <c r="C16" s="430">
        <f t="shared" si="3"/>
        <v>5</v>
      </c>
      <c r="D16" s="526">
        <v>0</v>
      </c>
      <c r="E16" s="472">
        <f>4+1</f>
        <v>5</v>
      </c>
      <c r="F16" s="463"/>
      <c r="G16" s="542"/>
      <c r="H16" s="430">
        <f t="shared" si="6"/>
        <v>5</v>
      </c>
      <c r="I16" s="430">
        <f t="shared" si="4"/>
        <v>5</v>
      </c>
      <c r="J16" s="472">
        <v>5</v>
      </c>
      <c r="K16" s="472"/>
      <c r="L16" s="472">
        <v>0</v>
      </c>
      <c r="M16" s="463"/>
      <c r="N16" s="464"/>
      <c r="O16" s="464"/>
      <c r="P16" s="464"/>
      <c r="Q16" s="465">
        <v>0</v>
      </c>
      <c r="R16" s="430">
        <f t="shared" si="5"/>
        <v>0</v>
      </c>
      <c r="S16" s="437">
        <f t="shared" si="2"/>
        <v>1</v>
      </c>
    </row>
    <row r="17" spans="1:19" ht="18.75" customHeight="1">
      <c r="A17" s="422" t="s">
        <v>55</v>
      </c>
      <c r="B17" s="415" t="s">
        <v>417</v>
      </c>
      <c r="C17" s="430">
        <f t="shared" si="3"/>
        <v>7</v>
      </c>
      <c r="D17" s="526">
        <v>2</v>
      </c>
      <c r="E17" s="472">
        <f>4+1</f>
        <v>5</v>
      </c>
      <c r="F17" s="463"/>
      <c r="G17" s="542"/>
      <c r="H17" s="430">
        <f t="shared" si="6"/>
        <v>7</v>
      </c>
      <c r="I17" s="430">
        <f t="shared" si="4"/>
        <v>4</v>
      </c>
      <c r="J17" s="472">
        <v>4</v>
      </c>
      <c r="K17" s="472"/>
      <c r="L17" s="472">
        <v>0</v>
      </c>
      <c r="M17" s="463"/>
      <c r="N17" s="464"/>
      <c r="O17" s="464"/>
      <c r="P17" s="464"/>
      <c r="Q17" s="465">
        <v>3</v>
      </c>
      <c r="R17" s="430">
        <f t="shared" si="5"/>
        <v>3</v>
      </c>
      <c r="S17" s="437">
        <f t="shared" si="2"/>
        <v>1</v>
      </c>
    </row>
    <row r="18" spans="1:19" ht="18.75" customHeight="1">
      <c r="A18" s="422" t="s">
        <v>56</v>
      </c>
      <c r="B18" s="416" t="s">
        <v>418</v>
      </c>
      <c r="C18" s="430">
        <f t="shared" si="3"/>
        <v>53</v>
      </c>
      <c r="D18" s="526">
        <v>16</v>
      </c>
      <c r="E18" s="472">
        <v>37</v>
      </c>
      <c r="F18" s="463"/>
      <c r="G18" s="542"/>
      <c r="H18" s="430">
        <f t="shared" si="6"/>
        <v>53</v>
      </c>
      <c r="I18" s="430">
        <f t="shared" si="4"/>
        <v>36</v>
      </c>
      <c r="J18" s="472">
        <v>36</v>
      </c>
      <c r="K18" s="472">
        <v>0</v>
      </c>
      <c r="L18" s="472">
        <v>0</v>
      </c>
      <c r="M18" s="463"/>
      <c r="N18" s="464"/>
      <c r="O18" s="464"/>
      <c r="P18" s="464"/>
      <c r="Q18" s="465">
        <v>17</v>
      </c>
      <c r="R18" s="430">
        <f t="shared" si="5"/>
        <v>17</v>
      </c>
      <c r="S18" s="437">
        <f t="shared" si="2"/>
        <v>1</v>
      </c>
    </row>
    <row r="19" spans="1:19" ht="18.75" customHeight="1">
      <c r="A19" s="422" t="s">
        <v>57</v>
      </c>
      <c r="B19" s="415" t="s">
        <v>419</v>
      </c>
      <c r="C19" s="430">
        <f t="shared" si="3"/>
        <v>8</v>
      </c>
      <c r="D19" s="526">
        <v>0</v>
      </c>
      <c r="E19" s="472">
        <f>6+2</f>
        <v>8</v>
      </c>
      <c r="F19" s="463"/>
      <c r="G19" s="542"/>
      <c r="H19" s="430">
        <f t="shared" si="6"/>
        <v>8</v>
      </c>
      <c r="I19" s="430">
        <f t="shared" si="4"/>
        <v>8</v>
      </c>
      <c r="J19" s="472">
        <v>8</v>
      </c>
      <c r="K19" s="472"/>
      <c r="L19" s="472">
        <v>0</v>
      </c>
      <c r="M19" s="463"/>
      <c r="N19" s="464"/>
      <c r="O19" s="464"/>
      <c r="P19" s="464"/>
      <c r="Q19" s="465">
        <v>0</v>
      </c>
      <c r="R19" s="430">
        <f t="shared" si="5"/>
        <v>0</v>
      </c>
      <c r="S19" s="437">
        <f t="shared" si="2"/>
        <v>1</v>
      </c>
    </row>
    <row r="20" spans="1:19" ht="18.75" customHeight="1">
      <c r="A20" s="422" t="s">
        <v>58</v>
      </c>
      <c r="B20" s="415" t="s">
        <v>461</v>
      </c>
      <c r="C20" s="430">
        <f t="shared" si="3"/>
        <v>5</v>
      </c>
      <c r="D20" s="526">
        <v>1</v>
      </c>
      <c r="E20" s="472">
        <f>3+1</f>
        <v>4</v>
      </c>
      <c r="F20" s="463"/>
      <c r="G20" s="542"/>
      <c r="H20" s="430">
        <f t="shared" si="6"/>
        <v>5</v>
      </c>
      <c r="I20" s="430">
        <f t="shared" si="4"/>
        <v>1</v>
      </c>
      <c r="J20" s="472">
        <v>1</v>
      </c>
      <c r="K20" s="472">
        <v>0</v>
      </c>
      <c r="L20" s="472">
        <v>0</v>
      </c>
      <c r="M20" s="463">
        <v>0</v>
      </c>
      <c r="N20" s="464">
        <v>0</v>
      </c>
      <c r="O20" s="464">
        <v>0</v>
      </c>
      <c r="P20" s="464">
        <v>0</v>
      </c>
      <c r="Q20" s="465">
        <v>4</v>
      </c>
      <c r="R20" s="430">
        <f t="shared" si="5"/>
        <v>4</v>
      </c>
      <c r="S20" s="437">
        <f t="shared" si="2"/>
        <v>1</v>
      </c>
    </row>
    <row r="21" spans="1:19" ht="18.75" customHeight="1">
      <c r="A21" s="422" t="s">
        <v>59</v>
      </c>
      <c r="B21" s="415" t="s">
        <v>420</v>
      </c>
      <c r="C21" s="430">
        <f t="shared" si="3"/>
        <v>7</v>
      </c>
      <c r="D21" s="526">
        <v>1</v>
      </c>
      <c r="E21" s="472">
        <f>3+1+2</f>
        <v>6</v>
      </c>
      <c r="F21" s="463"/>
      <c r="G21" s="542"/>
      <c r="H21" s="430">
        <f t="shared" si="6"/>
        <v>7</v>
      </c>
      <c r="I21" s="430">
        <f t="shared" si="4"/>
        <v>3</v>
      </c>
      <c r="J21" s="472">
        <v>2</v>
      </c>
      <c r="K21" s="472"/>
      <c r="L21" s="472">
        <v>1</v>
      </c>
      <c r="M21" s="463"/>
      <c r="N21" s="464"/>
      <c r="O21" s="464"/>
      <c r="P21" s="464"/>
      <c r="Q21" s="465">
        <v>4</v>
      </c>
      <c r="R21" s="430">
        <f t="shared" si="5"/>
        <v>5</v>
      </c>
      <c r="S21" s="437">
        <f t="shared" si="2"/>
        <v>0.6666666666666666</v>
      </c>
    </row>
    <row r="22" spans="1:19" ht="20.25" customHeight="1">
      <c r="A22" s="422" t="s">
        <v>79</v>
      </c>
      <c r="B22" s="417" t="s">
        <v>421</v>
      </c>
      <c r="C22" s="430">
        <f t="shared" si="3"/>
        <v>7</v>
      </c>
      <c r="D22" s="526">
        <v>0</v>
      </c>
      <c r="E22" s="472">
        <v>7</v>
      </c>
      <c r="F22" s="463"/>
      <c r="G22" s="542"/>
      <c r="H22" s="430">
        <f t="shared" si="6"/>
        <v>7</v>
      </c>
      <c r="I22" s="430">
        <f t="shared" si="4"/>
        <v>6</v>
      </c>
      <c r="J22" s="472">
        <v>6</v>
      </c>
      <c r="K22" s="472">
        <v>0</v>
      </c>
      <c r="L22" s="472">
        <v>0</v>
      </c>
      <c r="M22" s="463">
        <v>0</v>
      </c>
      <c r="N22" s="464">
        <v>0</v>
      </c>
      <c r="O22" s="464">
        <v>0</v>
      </c>
      <c r="P22" s="464">
        <v>0</v>
      </c>
      <c r="Q22" s="465">
        <v>1</v>
      </c>
      <c r="R22" s="430">
        <f t="shared" si="5"/>
        <v>1</v>
      </c>
      <c r="S22" s="437">
        <f t="shared" si="2"/>
        <v>1</v>
      </c>
    </row>
    <row r="23" spans="1:19" ht="18.75" customHeight="1">
      <c r="A23" s="398" t="s">
        <v>1</v>
      </c>
      <c r="B23" s="538" t="s">
        <v>17</v>
      </c>
      <c r="C23" s="552"/>
      <c r="D23" s="552"/>
      <c r="E23" s="552"/>
      <c r="F23" s="552"/>
      <c r="G23" s="552"/>
      <c r="H23" s="552"/>
      <c r="I23" s="552"/>
      <c r="J23" s="552"/>
      <c r="K23" s="552"/>
      <c r="L23" s="552"/>
      <c r="M23" s="552"/>
      <c r="N23" s="552"/>
      <c r="O23" s="552"/>
      <c r="P23" s="552"/>
      <c r="Q23" s="552"/>
      <c r="R23" s="553"/>
      <c r="S23" s="437" t="e">
        <f t="shared" si="2"/>
        <v>#DIV/0!</v>
      </c>
    </row>
    <row r="24" spans="1:26" ht="27.75" customHeight="1">
      <c r="A24" s="398" t="s">
        <v>43</v>
      </c>
      <c r="B24" s="399" t="s">
        <v>423</v>
      </c>
      <c r="C24" s="541">
        <f>D24+E24</f>
        <v>1260</v>
      </c>
      <c r="D24" s="541">
        <f>SUM(D25:D31)</f>
        <v>347</v>
      </c>
      <c r="E24" s="541">
        <f>SUM(E25:E31)</f>
        <v>913</v>
      </c>
      <c r="F24" s="541">
        <f>SUM(F25:F31)</f>
        <v>32</v>
      </c>
      <c r="G24" s="541">
        <f>SUM(G25:G31)</f>
        <v>0</v>
      </c>
      <c r="H24" s="541">
        <f>I24+Q24</f>
        <v>1228</v>
      </c>
      <c r="I24" s="541">
        <f>SUM(J24:P24)</f>
        <v>958</v>
      </c>
      <c r="J24" s="541">
        <f aca="true" t="shared" si="7" ref="J24:R24">SUM(J25:J31)</f>
        <v>756</v>
      </c>
      <c r="K24" s="541">
        <f t="shared" si="7"/>
        <v>29</v>
      </c>
      <c r="L24" s="541">
        <f t="shared" si="7"/>
        <v>131</v>
      </c>
      <c r="M24" s="541">
        <f t="shared" si="7"/>
        <v>27</v>
      </c>
      <c r="N24" s="541">
        <f t="shared" si="7"/>
        <v>0</v>
      </c>
      <c r="O24" s="541">
        <f t="shared" si="7"/>
        <v>0</v>
      </c>
      <c r="P24" s="541">
        <f t="shared" si="7"/>
        <v>15</v>
      </c>
      <c r="Q24" s="541">
        <f t="shared" si="7"/>
        <v>270</v>
      </c>
      <c r="R24" s="541">
        <f t="shared" si="7"/>
        <v>443</v>
      </c>
      <c r="S24" s="436">
        <f t="shared" si="2"/>
        <v>0.8194154488517745</v>
      </c>
      <c r="T24" s="567">
        <f>I24/H24</f>
        <v>0.7801302931596091</v>
      </c>
      <c r="U24" s="568">
        <f>(R24-Q24-96)/96</f>
        <v>0.8020833333333334</v>
      </c>
      <c r="V24" s="563">
        <f>(C24-1121)/1121</f>
        <v>0.1239964317573595</v>
      </c>
      <c r="W24" s="563">
        <f>(E24-782)/782</f>
        <v>0.16751918158567775</v>
      </c>
      <c r="X24" s="563">
        <f>(H24-1103)/1103</f>
        <v>0.11332728921124206</v>
      </c>
      <c r="Y24" s="563">
        <f>(I24-860)/860</f>
        <v>0.11395348837209303</v>
      </c>
      <c r="Z24" s="563">
        <f>(J24+K24-725)/725</f>
        <v>0.08275862068965517</v>
      </c>
    </row>
    <row r="25" spans="1:19" ht="18.75" customHeight="1">
      <c r="A25" s="422" t="s">
        <v>43</v>
      </c>
      <c r="B25" s="517" t="s">
        <v>424</v>
      </c>
      <c r="C25" s="554">
        <f>D25+E25</f>
        <v>151</v>
      </c>
      <c r="D25" s="426">
        <v>18</v>
      </c>
      <c r="E25" s="426">
        <v>133</v>
      </c>
      <c r="F25" s="426">
        <v>12</v>
      </c>
      <c r="G25" s="426">
        <v>0</v>
      </c>
      <c r="H25" s="554">
        <f>I25+Q25</f>
        <v>139</v>
      </c>
      <c r="I25" s="554">
        <f aca="true" t="shared" si="8" ref="I25:I60">SUM(J25:P25)</f>
        <v>139</v>
      </c>
      <c r="J25" s="426">
        <v>136</v>
      </c>
      <c r="K25" s="426">
        <v>3</v>
      </c>
      <c r="L25" s="426">
        <v>0</v>
      </c>
      <c r="M25" s="426">
        <v>0</v>
      </c>
      <c r="N25" s="426">
        <v>0</v>
      </c>
      <c r="O25" s="426">
        <v>0</v>
      </c>
      <c r="P25" s="426">
        <v>0</v>
      </c>
      <c r="Q25" s="426">
        <v>0</v>
      </c>
      <c r="R25" s="554">
        <f aca="true" t="shared" si="9" ref="R25:R48">(C25-F25-J25-K25)+G25</f>
        <v>0</v>
      </c>
      <c r="S25" s="418">
        <f t="shared" si="2"/>
        <v>1</v>
      </c>
    </row>
    <row r="26" spans="1:19" ht="18.75" customHeight="1">
      <c r="A26" s="422" t="s">
        <v>44</v>
      </c>
      <c r="B26" s="518" t="s">
        <v>425</v>
      </c>
      <c r="C26" s="554">
        <f aca="true" t="shared" si="10" ref="C26:C48">D26+E26</f>
        <v>125</v>
      </c>
      <c r="D26" s="426">
        <v>31</v>
      </c>
      <c r="E26" s="426">
        <v>94</v>
      </c>
      <c r="F26" s="426">
        <v>2</v>
      </c>
      <c r="G26" s="426">
        <v>0</v>
      </c>
      <c r="H26" s="554">
        <f aca="true" t="shared" si="11" ref="H26:H60">I26+Q26</f>
        <v>123</v>
      </c>
      <c r="I26" s="554">
        <f t="shared" si="8"/>
        <v>101</v>
      </c>
      <c r="J26" s="426">
        <v>79</v>
      </c>
      <c r="K26" s="426">
        <v>3</v>
      </c>
      <c r="L26" s="426">
        <v>14</v>
      </c>
      <c r="M26" s="426">
        <v>3</v>
      </c>
      <c r="N26" s="426">
        <v>0</v>
      </c>
      <c r="O26" s="426"/>
      <c r="P26" s="426">
        <v>2</v>
      </c>
      <c r="Q26" s="426">
        <v>22</v>
      </c>
      <c r="R26" s="554">
        <f t="shared" si="9"/>
        <v>41</v>
      </c>
      <c r="S26" s="418">
        <f t="shared" si="2"/>
        <v>0.8118811881188119</v>
      </c>
    </row>
    <row r="27" spans="1:19" ht="18.75" customHeight="1">
      <c r="A27" s="422" t="s">
        <v>45</v>
      </c>
      <c r="B27" s="517" t="s">
        <v>426</v>
      </c>
      <c r="C27" s="554">
        <f t="shared" si="10"/>
        <v>181</v>
      </c>
      <c r="D27" s="426">
        <v>55</v>
      </c>
      <c r="E27" s="426">
        <v>126</v>
      </c>
      <c r="F27" s="426">
        <v>3</v>
      </c>
      <c r="G27" s="426">
        <v>0</v>
      </c>
      <c r="H27" s="554">
        <f t="shared" si="11"/>
        <v>178</v>
      </c>
      <c r="I27" s="554">
        <f t="shared" si="8"/>
        <v>132</v>
      </c>
      <c r="J27" s="426">
        <v>113</v>
      </c>
      <c r="K27" s="426">
        <v>6</v>
      </c>
      <c r="L27" s="426">
        <v>11</v>
      </c>
      <c r="M27" s="426">
        <v>2</v>
      </c>
      <c r="N27" s="426"/>
      <c r="O27" s="426"/>
      <c r="P27" s="426">
        <v>0</v>
      </c>
      <c r="Q27" s="426">
        <v>46</v>
      </c>
      <c r="R27" s="554">
        <f>(C27-F27-J27-K27)+G27</f>
        <v>59</v>
      </c>
      <c r="S27" s="418">
        <f t="shared" si="2"/>
        <v>0.9015151515151515</v>
      </c>
    </row>
    <row r="28" spans="1:19" ht="18.75" customHeight="1">
      <c r="A28" s="422" t="s">
        <v>54</v>
      </c>
      <c r="B28" s="518" t="s">
        <v>464</v>
      </c>
      <c r="C28" s="554">
        <f t="shared" si="10"/>
        <v>166</v>
      </c>
      <c r="D28" s="426">
        <v>81</v>
      </c>
      <c r="E28" s="426">
        <v>85</v>
      </c>
      <c r="F28" s="426">
        <v>4</v>
      </c>
      <c r="G28" s="426">
        <v>0</v>
      </c>
      <c r="H28" s="554">
        <f t="shared" si="11"/>
        <v>162</v>
      </c>
      <c r="I28" s="554">
        <f t="shared" si="8"/>
        <v>106</v>
      </c>
      <c r="J28" s="426">
        <v>45</v>
      </c>
      <c r="K28" s="426">
        <v>3</v>
      </c>
      <c r="L28" s="426">
        <v>35</v>
      </c>
      <c r="M28" s="426">
        <v>10</v>
      </c>
      <c r="N28" s="426"/>
      <c r="O28" s="426"/>
      <c r="P28" s="426">
        <v>13</v>
      </c>
      <c r="Q28" s="426">
        <v>56</v>
      </c>
      <c r="R28" s="554">
        <f t="shared" si="9"/>
        <v>114</v>
      </c>
      <c r="S28" s="418">
        <f t="shared" si="2"/>
        <v>0.4528301886792453</v>
      </c>
    </row>
    <row r="29" spans="1:19" ht="18.75" customHeight="1">
      <c r="A29" s="422" t="s">
        <v>55</v>
      </c>
      <c r="B29" s="518" t="s">
        <v>465</v>
      </c>
      <c r="C29" s="554">
        <f t="shared" si="10"/>
        <v>188</v>
      </c>
      <c r="D29" s="426">
        <v>79</v>
      </c>
      <c r="E29" s="426">
        <v>109</v>
      </c>
      <c r="F29" s="426">
        <v>3</v>
      </c>
      <c r="G29" s="426">
        <v>0</v>
      </c>
      <c r="H29" s="554">
        <f t="shared" si="11"/>
        <v>185</v>
      </c>
      <c r="I29" s="554">
        <f t="shared" si="8"/>
        <v>120</v>
      </c>
      <c r="J29" s="426">
        <v>76</v>
      </c>
      <c r="K29" s="426">
        <v>3</v>
      </c>
      <c r="L29" s="426">
        <v>29</v>
      </c>
      <c r="M29" s="426">
        <v>12</v>
      </c>
      <c r="N29" s="426"/>
      <c r="O29" s="426"/>
      <c r="P29" s="426">
        <v>0</v>
      </c>
      <c r="Q29" s="426">
        <v>65</v>
      </c>
      <c r="R29" s="554">
        <f t="shared" si="9"/>
        <v>106</v>
      </c>
      <c r="S29" s="418">
        <f t="shared" si="2"/>
        <v>0.6583333333333333</v>
      </c>
    </row>
    <row r="30" spans="1:19" ht="18.75" customHeight="1">
      <c r="A30" s="422" t="s">
        <v>56</v>
      </c>
      <c r="B30" s="517" t="s">
        <v>466</v>
      </c>
      <c r="C30" s="554">
        <f t="shared" si="10"/>
        <v>179</v>
      </c>
      <c r="D30" s="426">
        <v>36</v>
      </c>
      <c r="E30" s="426">
        <v>143</v>
      </c>
      <c r="F30" s="426">
        <v>2</v>
      </c>
      <c r="G30" s="426">
        <v>0</v>
      </c>
      <c r="H30" s="554">
        <f t="shared" si="11"/>
        <v>177</v>
      </c>
      <c r="I30" s="554">
        <f t="shared" si="8"/>
        <v>145</v>
      </c>
      <c r="J30" s="426">
        <v>123</v>
      </c>
      <c r="K30" s="426">
        <v>8</v>
      </c>
      <c r="L30" s="426">
        <v>14</v>
      </c>
      <c r="M30" s="426">
        <v>0</v>
      </c>
      <c r="N30" s="426">
        <v>0</v>
      </c>
      <c r="O30" s="426">
        <v>0</v>
      </c>
      <c r="P30" s="426"/>
      <c r="Q30" s="426">
        <v>32</v>
      </c>
      <c r="R30" s="554">
        <f t="shared" si="9"/>
        <v>46</v>
      </c>
      <c r="S30" s="418">
        <f t="shared" si="2"/>
        <v>0.903448275862069</v>
      </c>
    </row>
    <row r="31" spans="1:19" ht="18.75" customHeight="1">
      <c r="A31" s="422" t="s">
        <v>57</v>
      </c>
      <c r="B31" s="517" t="s">
        <v>429</v>
      </c>
      <c r="C31" s="554">
        <f t="shared" si="10"/>
        <v>270</v>
      </c>
      <c r="D31" s="426">
        <v>47</v>
      </c>
      <c r="E31" s="426">
        <v>223</v>
      </c>
      <c r="F31" s="426">
        <v>6</v>
      </c>
      <c r="G31" s="426">
        <v>0</v>
      </c>
      <c r="H31" s="554">
        <f t="shared" si="11"/>
        <v>264</v>
      </c>
      <c r="I31" s="554">
        <f t="shared" si="8"/>
        <v>215</v>
      </c>
      <c r="J31" s="426">
        <v>184</v>
      </c>
      <c r="K31" s="426">
        <v>3</v>
      </c>
      <c r="L31" s="426">
        <v>28</v>
      </c>
      <c r="M31" s="426">
        <v>0</v>
      </c>
      <c r="N31" s="426">
        <v>0</v>
      </c>
      <c r="O31" s="426">
        <v>0</v>
      </c>
      <c r="P31" s="426"/>
      <c r="Q31" s="426">
        <v>49</v>
      </c>
      <c r="R31" s="554">
        <f>(C31-F31-J31-K31)+G31</f>
        <v>77</v>
      </c>
      <c r="S31" s="418">
        <f t="shared" si="2"/>
        <v>0.8697674418604651</v>
      </c>
    </row>
    <row r="32" spans="1:26" ht="18.75" customHeight="1">
      <c r="A32" s="398" t="s">
        <v>44</v>
      </c>
      <c r="B32" s="419" t="s">
        <v>430</v>
      </c>
      <c r="C32" s="541">
        <f>D32+E32</f>
        <v>932</v>
      </c>
      <c r="D32" s="541">
        <f>SUM(D33:D38)</f>
        <v>215</v>
      </c>
      <c r="E32" s="541">
        <f>SUM(E33:E38)</f>
        <v>717</v>
      </c>
      <c r="F32" s="541">
        <f>SUM(F33:F38)</f>
        <v>8</v>
      </c>
      <c r="G32" s="541">
        <f aca="true" t="shared" si="12" ref="G32:Q32">SUM(G33:G38)</f>
        <v>0</v>
      </c>
      <c r="H32" s="541">
        <f t="shared" si="12"/>
        <v>924</v>
      </c>
      <c r="I32" s="541">
        <f t="shared" si="12"/>
        <v>740</v>
      </c>
      <c r="J32" s="541">
        <f t="shared" si="12"/>
        <v>627</v>
      </c>
      <c r="K32" s="541">
        <f t="shared" si="12"/>
        <v>14</v>
      </c>
      <c r="L32" s="541">
        <f t="shared" si="12"/>
        <v>95</v>
      </c>
      <c r="M32" s="541">
        <f t="shared" si="12"/>
        <v>0</v>
      </c>
      <c r="N32" s="541">
        <f t="shared" si="12"/>
        <v>0</v>
      </c>
      <c r="O32" s="541">
        <f t="shared" si="12"/>
        <v>0</v>
      </c>
      <c r="P32" s="541">
        <f t="shared" si="12"/>
        <v>4</v>
      </c>
      <c r="Q32" s="541">
        <f t="shared" si="12"/>
        <v>184</v>
      </c>
      <c r="R32" s="541">
        <f>SUM(R33:R38)</f>
        <v>283</v>
      </c>
      <c r="S32" s="428">
        <f t="shared" si="2"/>
        <v>0.8662162162162163</v>
      </c>
      <c r="T32" s="569">
        <f>I32/H32</f>
        <v>0.8008658008658008</v>
      </c>
      <c r="U32" s="570">
        <f>(R32-Q32-43)/43</f>
        <v>1.302325581395349</v>
      </c>
      <c r="V32" s="563">
        <f>(C32-811)/811</f>
        <v>0.14919852034525277</v>
      </c>
      <c r="W32" s="563">
        <f>(E32-582)/582</f>
        <v>0.23195876288659795</v>
      </c>
      <c r="X32" s="563">
        <f>(H32-801)/801</f>
        <v>0.15355805243445692</v>
      </c>
      <c r="Y32" s="563">
        <f>(I32-625)/625</f>
        <v>0.184</v>
      </c>
      <c r="Z32" s="563">
        <f>(J32+K32-566)/566</f>
        <v>0.13250883392226148</v>
      </c>
    </row>
    <row r="33" spans="1:19" ht="18.75" customHeight="1">
      <c r="A33" s="422" t="s">
        <v>43</v>
      </c>
      <c r="B33" s="518" t="s">
        <v>431</v>
      </c>
      <c r="C33" s="429">
        <f t="shared" si="10"/>
        <v>173</v>
      </c>
      <c r="D33" s="463">
        <v>21</v>
      </c>
      <c r="E33" s="463">
        <v>152</v>
      </c>
      <c r="F33" s="463">
        <v>1</v>
      </c>
      <c r="G33" s="546"/>
      <c r="H33" s="429">
        <f t="shared" si="11"/>
        <v>172</v>
      </c>
      <c r="I33" s="429">
        <f t="shared" si="8"/>
        <v>153</v>
      </c>
      <c r="J33" s="463">
        <v>145</v>
      </c>
      <c r="K33" s="544">
        <v>2</v>
      </c>
      <c r="L33" s="463">
        <v>5</v>
      </c>
      <c r="M33" s="463">
        <v>0</v>
      </c>
      <c r="N33" s="463">
        <v>0</v>
      </c>
      <c r="O33" s="463">
        <v>0</v>
      </c>
      <c r="P33" s="463">
        <v>1</v>
      </c>
      <c r="Q33" s="545">
        <v>19</v>
      </c>
      <c r="R33" s="430">
        <f t="shared" si="9"/>
        <v>25</v>
      </c>
      <c r="S33" s="431">
        <f t="shared" si="2"/>
        <v>0.9607843137254902</v>
      </c>
    </row>
    <row r="34" spans="1:19" ht="18.75" customHeight="1">
      <c r="A34" s="422" t="s">
        <v>44</v>
      </c>
      <c r="B34" s="518" t="s">
        <v>432</v>
      </c>
      <c r="C34" s="429">
        <f t="shared" si="10"/>
        <v>148</v>
      </c>
      <c r="D34" s="463">
        <v>60</v>
      </c>
      <c r="E34" s="463">
        <v>88</v>
      </c>
      <c r="F34" s="463">
        <v>0</v>
      </c>
      <c r="G34" s="546"/>
      <c r="H34" s="429">
        <f t="shared" si="11"/>
        <v>148</v>
      </c>
      <c r="I34" s="429">
        <f t="shared" si="8"/>
        <v>97</v>
      </c>
      <c r="J34" s="463">
        <v>74</v>
      </c>
      <c r="K34" s="463">
        <v>0</v>
      </c>
      <c r="L34" s="463">
        <v>23</v>
      </c>
      <c r="M34" s="463">
        <v>0</v>
      </c>
      <c r="N34" s="463">
        <v>0</v>
      </c>
      <c r="O34" s="463">
        <v>0</v>
      </c>
      <c r="P34" s="463">
        <v>0</v>
      </c>
      <c r="Q34" s="545">
        <v>51</v>
      </c>
      <c r="R34" s="430">
        <f t="shared" si="9"/>
        <v>74</v>
      </c>
      <c r="S34" s="431">
        <f t="shared" si="2"/>
        <v>0.7628865979381443</v>
      </c>
    </row>
    <row r="35" spans="1:19" ht="18.75" customHeight="1">
      <c r="A35" s="422" t="s">
        <v>45</v>
      </c>
      <c r="B35" s="518" t="s">
        <v>428</v>
      </c>
      <c r="C35" s="429">
        <f t="shared" si="10"/>
        <v>160</v>
      </c>
      <c r="D35" s="463">
        <v>24</v>
      </c>
      <c r="E35" s="463">
        <v>136</v>
      </c>
      <c r="F35" s="463">
        <v>4</v>
      </c>
      <c r="G35" s="546"/>
      <c r="H35" s="429">
        <f t="shared" si="11"/>
        <v>156</v>
      </c>
      <c r="I35" s="429">
        <f t="shared" si="8"/>
        <v>131</v>
      </c>
      <c r="J35" s="474">
        <v>103</v>
      </c>
      <c r="K35" s="463">
        <v>3</v>
      </c>
      <c r="L35" s="463">
        <v>25</v>
      </c>
      <c r="M35" s="463">
        <v>0</v>
      </c>
      <c r="N35" s="463">
        <v>0</v>
      </c>
      <c r="O35" s="463">
        <v>0</v>
      </c>
      <c r="P35" s="463">
        <v>0</v>
      </c>
      <c r="Q35" s="545">
        <v>25</v>
      </c>
      <c r="R35" s="430">
        <f t="shared" si="9"/>
        <v>50</v>
      </c>
      <c r="S35" s="431">
        <f t="shared" si="2"/>
        <v>0.8091603053435115</v>
      </c>
    </row>
    <row r="36" spans="1:19" ht="18.75" customHeight="1">
      <c r="A36" s="422" t="s">
        <v>54</v>
      </c>
      <c r="B36" s="518" t="s">
        <v>433</v>
      </c>
      <c r="C36" s="429">
        <f t="shared" si="10"/>
        <v>153</v>
      </c>
      <c r="D36" s="463">
        <v>31</v>
      </c>
      <c r="E36" s="463">
        <v>122</v>
      </c>
      <c r="F36" s="463">
        <v>2</v>
      </c>
      <c r="G36" s="546"/>
      <c r="H36" s="429">
        <f t="shared" si="11"/>
        <v>151</v>
      </c>
      <c r="I36" s="429">
        <f t="shared" si="8"/>
        <v>129</v>
      </c>
      <c r="J36" s="463">
        <v>112</v>
      </c>
      <c r="K36" s="463">
        <v>3</v>
      </c>
      <c r="L36" s="463">
        <v>12</v>
      </c>
      <c r="M36" s="463">
        <v>0</v>
      </c>
      <c r="N36" s="463">
        <v>0</v>
      </c>
      <c r="O36" s="463">
        <v>0</v>
      </c>
      <c r="P36" s="463">
        <v>2</v>
      </c>
      <c r="Q36" s="545">
        <v>22</v>
      </c>
      <c r="R36" s="430">
        <f t="shared" si="9"/>
        <v>36</v>
      </c>
      <c r="S36" s="431">
        <f t="shared" si="2"/>
        <v>0.8914728682170543</v>
      </c>
    </row>
    <row r="37" spans="1:19" ht="18.75" customHeight="1">
      <c r="A37" s="422" t="s">
        <v>55</v>
      </c>
      <c r="B37" s="518" t="s">
        <v>458</v>
      </c>
      <c r="C37" s="429">
        <f t="shared" si="10"/>
        <v>141</v>
      </c>
      <c r="D37" s="463">
        <v>33</v>
      </c>
      <c r="E37" s="463">
        <v>108</v>
      </c>
      <c r="F37" s="463">
        <v>0</v>
      </c>
      <c r="G37" s="546"/>
      <c r="H37" s="429">
        <f t="shared" si="11"/>
        <v>141</v>
      </c>
      <c r="I37" s="429">
        <f t="shared" si="8"/>
        <v>110</v>
      </c>
      <c r="J37" s="463">
        <v>96</v>
      </c>
      <c r="K37" s="463">
        <v>3</v>
      </c>
      <c r="L37" s="463">
        <v>11</v>
      </c>
      <c r="M37" s="463">
        <v>0</v>
      </c>
      <c r="N37" s="463">
        <v>0</v>
      </c>
      <c r="O37" s="463">
        <v>0</v>
      </c>
      <c r="P37" s="463">
        <v>0</v>
      </c>
      <c r="Q37" s="545">
        <v>31</v>
      </c>
      <c r="R37" s="430">
        <f t="shared" si="9"/>
        <v>42</v>
      </c>
      <c r="S37" s="431">
        <f t="shared" si="2"/>
        <v>0.9</v>
      </c>
    </row>
    <row r="38" spans="1:19" ht="18.75" customHeight="1">
      <c r="A38" s="422" t="s">
        <v>56</v>
      </c>
      <c r="B38" s="517" t="s">
        <v>434</v>
      </c>
      <c r="C38" s="429">
        <f t="shared" si="10"/>
        <v>157</v>
      </c>
      <c r="D38" s="463">
        <v>46</v>
      </c>
      <c r="E38" s="463">
        <v>111</v>
      </c>
      <c r="F38" s="463">
        <v>1</v>
      </c>
      <c r="G38" s="546"/>
      <c r="H38" s="429">
        <f t="shared" si="11"/>
        <v>156</v>
      </c>
      <c r="I38" s="429">
        <f t="shared" si="8"/>
        <v>120</v>
      </c>
      <c r="J38" s="463">
        <v>97</v>
      </c>
      <c r="K38" s="463">
        <v>3</v>
      </c>
      <c r="L38" s="463">
        <v>19</v>
      </c>
      <c r="M38" s="463">
        <v>0</v>
      </c>
      <c r="N38" s="463">
        <v>0</v>
      </c>
      <c r="O38" s="463">
        <v>0</v>
      </c>
      <c r="P38" s="463">
        <v>1</v>
      </c>
      <c r="Q38" s="545">
        <v>36</v>
      </c>
      <c r="R38" s="430">
        <f t="shared" si="9"/>
        <v>56</v>
      </c>
      <c r="S38" s="431">
        <f t="shared" si="2"/>
        <v>0.8333333333333334</v>
      </c>
    </row>
    <row r="39" spans="1:26" ht="18.75" customHeight="1">
      <c r="A39" s="398" t="s">
        <v>45</v>
      </c>
      <c r="B39" s="419" t="s">
        <v>455</v>
      </c>
      <c r="C39" s="466">
        <f>D39+E39</f>
        <v>1167</v>
      </c>
      <c r="D39" s="425">
        <f>SUM(D40:D46)</f>
        <v>475</v>
      </c>
      <c r="E39" s="425">
        <f>SUM(E40:E46)</f>
        <v>692</v>
      </c>
      <c r="F39" s="425">
        <f>SUM(F40:F46)</f>
        <v>5</v>
      </c>
      <c r="G39" s="425">
        <f>SUM(G40:G46)</f>
        <v>0</v>
      </c>
      <c r="H39" s="425">
        <f aca="true" t="shared" si="13" ref="H39:H46">I39+Q39</f>
        <v>1162</v>
      </c>
      <c r="I39" s="425">
        <f>SUM(J39:P39)</f>
        <v>832</v>
      </c>
      <c r="J39" s="425">
        <f>SUM(J40:J46)</f>
        <v>696</v>
      </c>
      <c r="K39" s="425">
        <f aca="true" t="shared" si="14" ref="K39:R39">SUM(K40:K46)</f>
        <v>11</v>
      </c>
      <c r="L39" s="425">
        <f t="shared" si="14"/>
        <v>110</v>
      </c>
      <c r="M39" s="425">
        <f t="shared" si="14"/>
        <v>7</v>
      </c>
      <c r="N39" s="425">
        <f t="shared" si="14"/>
        <v>0</v>
      </c>
      <c r="O39" s="425">
        <f t="shared" si="14"/>
        <v>0</v>
      </c>
      <c r="P39" s="425">
        <f t="shared" si="14"/>
        <v>8</v>
      </c>
      <c r="Q39" s="425">
        <f t="shared" si="14"/>
        <v>330</v>
      </c>
      <c r="R39" s="425">
        <f t="shared" si="14"/>
        <v>455</v>
      </c>
      <c r="S39" s="424">
        <f t="shared" si="2"/>
        <v>0.8497596153846154</v>
      </c>
      <c r="T39" s="571">
        <f>I39/H39</f>
        <v>0.7160068846815835</v>
      </c>
      <c r="U39" s="572">
        <f>(R39-Q39-119)/119</f>
        <v>0.05042016806722689</v>
      </c>
      <c r="V39" s="563">
        <f>(C39-1134)/1134</f>
        <v>0.0291005291005291</v>
      </c>
      <c r="W39" s="563">
        <f>(E39-739)/739</f>
        <v>-0.06359945872801083</v>
      </c>
      <c r="X39" s="563">
        <f>(H39-1130)/1130</f>
        <v>0.02831858407079646</v>
      </c>
      <c r="Y39" s="563">
        <f>(I39-751)/751</f>
        <v>0.10785619174434088</v>
      </c>
      <c r="Z39" s="563">
        <f>(J39+K39-636)/636</f>
        <v>0.11163522012578617</v>
      </c>
    </row>
    <row r="40" spans="1:19" ht="18.75" customHeight="1">
      <c r="A40" s="422" t="s">
        <v>43</v>
      </c>
      <c r="B40" s="420" t="s">
        <v>435</v>
      </c>
      <c r="C40" s="430">
        <f t="shared" si="10"/>
        <v>54</v>
      </c>
      <c r="D40" s="426">
        <v>19</v>
      </c>
      <c r="E40" s="426">
        <v>35</v>
      </c>
      <c r="F40" s="426">
        <v>0</v>
      </c>
      <c r="G40" s="546">
        <v>0</v>
      </c>
      <c r="H40" s="430">
        <f t="shared" si="13"/>
        <v>54</v>
      </c>
      <c r="I40" s="430">
        <f t="shared" si="8"/>
        <v>39</v>
      </c>
      <c r="J40" s="426">
        <v>35</v>
      </c>
      <c r="K40" s="426">
        <v>1</v>
      </c>
      <c r="L40" s="426">
        <v>3</v>
      </c>
      <c r="M40" s="426">
        <v>0</v>
      </c>
      <c r="N40" s="426">
        <v>0</v>
      </c>
      <c r="O40" s="426">
        <v>0</v>
      </c>
      <c r="P40" s="426">
        <v>0</v>
      </c>
      <c r="Q40" s="426">
        <v>15</v>
      </c>
      <c r="R40" s="430">
        <f t="shared" si="9"/>
        <v>18</v>
      </c>
      <c r="S40" s="418">
        <f t="shared" si="2"/>
        <v>0.9230769230769231</v>
      </c>
    </row>
    <row r="41" spans="1:19" ht="18.75" customHeight="1">
      <c r="A41" s="422" t="s">
        <v>44</v>
      </c>
      <c r="B41" s="420" t="s">
        <v>436</v>
      </c>
      <c r="C41" s="430">
        <f t="shared" si="10"/>
        <v>184</v>
      </c>
      <c r="D41" s="426">
        <v>69</v>
      </c>
      <c r="E41" s="426">
        <v>115</v>
      </c>
      <c r="F41" s="426">
        <v>0</v>
      </c>
      <c r="G41" s="546">
        <v>0</v>
      </c>
      <c r="H41" s="430">
        <f t="shared" si="13"/>
        <v>184</v>
      </c>
      <c r="I41" s="430">
        <f aca="true" t="shared" si="15" ref="I41:I46">J41+K41+L41+M41+N41+O41+P41</f>
        <v>142</v>
      </c>
      <c r="J41" s="426">
        <v>129</v>
      </c>
      <c r="K41" s="426">
        <v>3</v>
      </c>
      <c r="L41" s="426">
        <v>9</v>
      </c>
      <c r="M41" s="426">
        <v>0</v>
      </c>
      <c r="N41" s="426">
        <v>0</v>
      </c>
      <c r="O41" s="426">
        <v>0</v>
      </c>
      <c r="P41" s="426">
        <v>1</v>
      </c>
      <c r="Q41" s="426">
        <v>42</v>
      </c>
      <c r="R41" s="430">
        <f t="shared" si="9"/>
        <v>52</v>
      </c>
      <c r="S41" s="418">
        <f t="shared" si="2"/>
        <v>0.9295774647887324</v>
      </c>
    </row>
    <row r="42" spans="1:19" ht="18.75" customHeight="1">
      <c r="A42" s="422" t="s">
        <v>45</v>
      </c>
      <c r="B42" s="420" t="s">
        <v>437</v>
      </c>
      <c r="C42" s="430">
        <f t="shared" si="10"/>
        <v>217</v>
      </c>
      <c r="D42" s="426">
        <v>52</v>
      </c>
      <c r="E42" s="426">
        <v>165</v>
      </c>
      <c r="F42" s="426">
        <v>1</v>
      </c>
      <c r="G42" s="546">
        <v>0</v>
      </c>
      <c r="H42" s="430">
        <f t="shared" si="13"/>
        <v>216</v>
      </c>
      <c r="I42" s="430">
        <f t="shared" si="15"/>
        <v>174</v>
      </c>
      <c r="J42" s="426">
        <v>164</v>
      </c>
      <c r="K42" s="426">
        <v>0</v>
      </c>
      <c r="L42" s="426">
        <v>9</v>
      </c>
      <c r="M42" s="426">
        <v>0</v>
      </c>
      <c r="N42" s="426">
        <v>0</v>
      </c>
      <c r="O42" s="426">
        <v>0</v>
      </c>
      <c r="P42" s="426">
        <v>1</v>
      </c>
      <c r="Q42" s="426">
        <v>42</v>
      </c>
      <c r="R42" s="430">
        <f t="shared" si="9"/>
        <v>52</v>
      </c>
      <c r="S42" s="418">
        <f t="shared" si="2"/>
        <v>0.9425287356321839</v>
      </c>
    </row>
    <row r="43" spans="1:19" ht="18.75" customHeight="1">
      <c r="A43" s="422" t="s">
        <v>54</v>
      </c>
      <c r="B43" s="420" t="s">
        <v>438</v>
      </c>
      <c r="C43" s="430">
        <f t="shared" si="10"/>
        <v>153</v>
      </c>
      <c r="D43" s="426">
        <v>71</v>
      </c>
      <c r="E43" s="426">
        <v>82</v>
      </c>
      <c r="F43" s="426">
        <v>0</v>
      </c>
      <c r="G43" s="546">
        <v>0</v>
      </c>
      <c r="H43" s="430">
        <f t="shared" si="13"/>
        <v>153</v>
      </c>
      <c r="I43" s="430">
        <f t="shared" si="15"/>
        <v>102</v>
      </c>
      <c r="J43" s="426">
        <v>82</v>
      </c>
      <c r="K43" s="426">
        <v>1</v>
      </c>
      <c r="L43" s="426">
        <v>19</v>
      </c>
      <c r="M43" s="426">
        <v>0</v>
      </c>
      <c r="N43" s="426">
        <v>0</v>
      </c>
      <c r="O43" s="426">
        <v>0</v>
      </c>
      <c r="P43" s="426">
        <v>0</v>
      </c>
      <c r="Q43" s="426">
        <v>51</v>
      </c>
      <c r="R43" s="430">
        <f t="shared" si="9"/>
        <v>70</v>
      </c>
      <c r="S43" s="418">
        <f t="shared" si="2"/>
        <v>0.8137254901960784</v>
      </c>
    </row>
    <row r="44" spans="1:19" ht="18.75" customHeight="1">
      <c r="A44" s="422" t="s">
        <v>55</v>
      </c>
      <c r="B44" s="420" t="s">
        <v>439</v>
      </c>
      <c r="C44" s="430">
        <f t="shared" si="10"/>
        <v>252</v>
      </c>
      <c r="D44" s="426">
        <v>102</v>
      </c>
      <c r="E44" s="426">
        <v>150</v>
      </c>
      <c r="F44" s="426">
        <v>2</v>
      </c>
      <c r="G44" s="546"/>
      <c r="H44" s="430">
        <f t="shared" si="13"/>
        <v>250</v>
      </c>
      <c r="I44" s="430">
        <f t="shared" si="15"/>
        <v>197</v>
      </c>
      <c r="J44" s="426">
        <v>149</v>
      </c>
      <c r="K44" s="426">
        <v>5</v>
      </c>
      <c r="L44" s="426">
        <v>34</v>
      </c>
      <c r="M44" s="426">
        <v>3</v>
      </c>
      <c r="N44" s="426">
        <v>0</v>
      </c>
      <c r="O44" s="426">
        <v>0</v>
      </c>
      <c r="P44" s="426">
        <v>6</v>
      </c>
      <c r="Q44" s="426">
        <v>53</v>
      </c>
      <c r="R44" s="430">
        <f t="shared" si="9"/>
        <v>96</v>
      </c>
      <c r="S44" s="418">
        <f t="shared" si="2"/>
        <v>0.7817258883248731</v>
      </c>
    </row>
    <row r="45" spans="1:19" ht="18.75" customHeight="1">
      <c r="A45" s="422" t="s">
        <v>56</v>
      </c>
      <c r="B45" s="420" t="s">
        <v>447</v>
      </c>
      <c r="C45" s="430">
        <f t="shared" si="10"/>
        <v>176</v>
      </c>
      <c r="D45" s="426">
        <v>85</v>
      </c>
      <c r="E45" s="426">
        <v>91</v>
      </c>
      <c r="F45" s="426">
        <v>0</v>
      </c>
      <c r="G45" s="546">
        <v>0</v>
      </c>
      <c r="H45" s="430">
        <f t="shared" si="13"/>
        <v>176</v>
      </c>
      <c r="I45" s="430">
        <f t="shared" si="15"/>
        <v>108</v>
      </c>
      <c r="J45" s="426">
        <v>82</v>
      </c>
      <c r="K45" s="426">
        <v>0</v>
      </c>
      <c r="L45" s="426">
        <v>22</v>
      </c>
      <c r="M45" s="426">
        <v>4</v>
      </c>
      <c r="N45" s="426">
        <v>0</v>
      </c>
      <c r="O45" s="426">
        <v>0</v>
      </c>
      <c r="P45" s="426">
        <v>0</v>
      </c>
      <c r="Q45" s="426">
        <v>68</v>
      </c>
      <c r="R45" s="430">
        <f t="shared" si="9"/>
        <v>94</v>
      </c>
      <c r="S45" s="418">
        <f t="shared" si="2"/>
        <v>0.7592592592592593</v>
      </c>
    </row>
    <row r="46" spans="1:19" ht="18.75" customHeight="1">
      <c r="A46" s="422" t="s">
        <v>57</v>
      </c>
      <c r="B46" s="23" t="s">
        <v>427</v>
      </c>
      <c r="C46" s="430">
        <f t="shared" si="10"/>
        <v>131</v>
      </c>
      <c r="D46" s="426">
        <v>77</v>
      </c>
      <c r="E46" s="426">
        <v>54</v>
      </c>
      <c r="F46" s="426">
        <v>2</v>
      </c>
      <c r="G46" s="546">
        <v>0</v>
      </c>
      <c r="H46" s="430">
        <f t="shared" si="13"/>
        <v>129</v>
      </c>
      <c r="I46" s="430">
        <f t="shared" si="15"/>
        <v>70</v>
      </c>
      <c r="J46" s="426">
        <v>55</v>
      </c>
      <c r="K46" s="426">
        <v>1</v>
      </c>
      <c r="L46" s="426">
        <v>14</v>
      </c>
      <c r="M46" s="426">
        <v>0</v>
      </c>
      <c r="N46" s="426">
        <v>0</v>
      </c>
      <c r="O46" s="426">
        <v>0</v>
      </c>
      <c r="P46" s="426">
        <v>0</v>
      </c>
      <c r="Q46" s="426">
        <v>59</v>
      </c>
      <c r="R46" s="430">
        <f t="shared" si="9"/>
        <v>73</v>
      </c>
      <c r="S46" s="418">
        <f t="shared" si="2"/>
        <v>0.8</v>
      </c>
    </row>
    <row r="47" spans="1:26" ht="18.75" customHeight="1">
      <c r="A47" s="398" t="s">
        <v>54</v>
      </c>
      <c r="B47" s="419" t="s">
        <v>441</v>
      </c>
      <c r="C47" s="425">
        <f>D47+E47</f>
        <v>670</v>
      </c>
      <c r="D47" s="425">
        <f aca="true" t="shared" si="16" ref="D47:J47">SUM(D48:D50)</f>
        <v>93</v>
      </c>
      <c r="E47" s="425">
        <f t="shared" si="16"/>
        <v>577</v>
      </c>
      <c r="F47" s="425">
        <f t="shared" si="16"/>
        <v>0</v>
      </c>
      <c r="G47" s="425">
        <f t="shared" si="16"/>
        <v>0</v>
      </c>
      <c r="H47" s="425">
        <f t="shared" si="16"/>
        <v>670</v>
      </c>
      <c r="I47" s="425">
        <f t="shared" si="16"/>
        <v>580</v>
      </c>
      <c r="J47" s="425">
        <f t="shared" si="16"/>
        <v>541</v>
      </c>
      <c r="K47" s="425">
        <f aca="true" t="shared" si="17" ref="K47:R47">SUM(K48:K50)</f>
        <v>3</v>
      </c>
      <c r="L47" s="425">
        <f t="shared" si="17"/>
        <v>35</v>
      </c>
      <c r="M47" s="425">
        <f t="shared" si="17"/>
        <v>1</v>
      </c>
      <c r="N47" s="425">
        <f t="shared" si="17"/>
        <v>0</v>
      </c>
      <c r="O47" s="425">
        <f t="shared" si="17"/>
        <v>0</v>
      </c>
      <c r="P47" s="425">
        <f t="shared" si="17"/>
        <v>0</v>
      </c>
      <c r="Q47" s="425">
        <f t="shared" si="17"/>
        <v>90</v>
      </c>
      <c r="R47" s="425">
        <f t="shared" si="17"/>
        <v>126</v>
      </c>
      <c r="S47" s="424">
        <f t="shared" si="2"/>
        <v>0.9379310344827586</v>
      </c>
      <c r="T47" s="573">
        <f>I47/H47</f>
        <v>0.8656716417910447</v>
      </c>
      <c r="U47" s="574">
        <f>(R47-Q47-12)/12</f>
        <v>2</v>
      </c>
      <c r="V47" s="563">
        <f>(C47-585)/585</f>
        <v>0.1452991452991453</v>
      </c>
      <c r="W47" s="563">
        <f>(E47-499)/499</f>
        <v>0.156312625250501</v>
      </c>
      <c r="X47" s="563">
        <f>(H47-584)/584</f>
        <v>0.14726027397260275</v>
      </c>
      <c r="Y47" s="563">
        <f>(I47-495)/495</f>
        <v>0.1717171717171717</v>
      </c>
      <c r="Z47" s="563">
        <f>(J47+K47-471)/471</f>
        <v>0.15498938428874734</v>
      </c>
    </row>
    <row r="48" spans="1:19" ht="18.75" customHeight="1">
      <c r="A48" s="432" t="s">
        <v>43</v>
      </c>
      <c r="B48" s="515" t="s">
        <v>450</v>
      </c>
      <c r="C48" s="547">
        <f t="shared" si="10"/>
        <v>200</v>
      </c>
      <c r="D48" s="441">
        <v>15</v>
      </c>
      <c r="E48" s="441">
        <v>185</v>
      </c>
      <c r="F48" s="441"/>
      <c r="G48" s="548"/>
      <c r="H48" s="547">
        <f>I48+Q48</f>
        <v>200</v>
      </c>
      <c r="I48" s="547">
        <f>J48+K48+L48+M48+N48+O48+P48</f>
        <v>183</v>
      </c>
      <c r="J48" s="441">
        <v>180</v>
      </c>
      <c r="K48" s="441"/>
      <c r="L48" s="441">
        <v>2</v>
      </c>
      <c r="M48" s="441">
        <v>1</v>
      </c>
      <c r="N48" s="441"/>
      <c r="O48" s="441"/>
      <c r="P48" s="442"/>
      <c r="Q48" s="529">
        <v>17</v>
      </c>
      <c r="R48" s="547">
        <f t="shared" si="9"/>
        <v>20</v>
      </c>
      <c r="S48" s="434">
        <f t="shared" si="2"/>
        <v>0.9836065573770492</v>
      </c>
    </row>
    <row r="49" spans="1:19" ht="18.75" customHeight="1">
      <c r="A49" s="432" t="s">
        <v>44</v>
      </c>
      <c r="B49" s="433" t="s">
        <v>443</v>
      </c>
      <c r="C49" s="547">
        <f aca="true" t="shared" si="18" ref="C49:C57">D49+E49</f>
        <v>211</v>
      </c>
      <c r="D49" s="441">
        <v>36</v>
      </c>
      <c r="E49" s="441">
        <v>175</v>
      </c>
      <c r="F49" s="441"/>
      <c r="G49" s="548"/>
      <c r="H49" s="547">
        <f>I49+Q49</f>
        <v>211</v>
      </c>
      <c r="I49" s="547">
        <f>J49+K49+L49+M49+N49+O49+P49</f>
        <v>180</v>
      </c>
      <c r="J49" s="441">
        <v>159</v>
      </c>
      <c r="K49" s="441">
        <v>2</v>
      </c>
      <c r="L49" s="441">
        <v>19</v>
      </c>
      <c r="M49" s="441"/>
      <c r="N49" s="441"/>
      <c r="O49" s="441"/>
      <c r="P49" s="442"/>
      <c r="Q49" s="529">
        <v>31</v>
      </c>
      <c r="R49" s="547">
        <f>(C49-F49-J49-K49)+G49</f>
        <v>50</v>
      </c>
      <c r="S49" s="434">
        <f t="shared" si="2"/>
        <v>0.8944444444444445</v>
      </c>
    </row>
    <row r="50" spans="1:19" ht="18.75" customHeight="1">
      <c r="A50" s="439" t="s">
        <v>45</v>
      </c>
      <c r="B50" s="440" t="s">
        <v>448</v>
      </c>
      <c r="C50" s="547">
        <f t="shared" si="18"/>
        <v>259</v>
      </c>
      <c r="D50" s="441">
        <v>42</v>
      </c>
      <c r="E50" s="441">
        <v>217</v>
      </c>
      <c r="F50" s="441"/>
      <c r="G50" s="548"/>
      <c r="H50" s="547">
        <f>I50+Q50</f>
        <v>259</v>
      </c>
      <c r="I50" s="547">
        <f>J50+K50+L50+M50+N50+O50+P50</f>
        <v>217</v>
      </c>
      <c r="J50" s="441">
        <v>202</v>
      </c>
      <c r="K50" s="441">
        <v>1</v>
      </c>
      <c r="L50" s="441">
        <v>14</v>
      </c>
      <c r="M50" s="441"/>
      <c r="N50" s="441"/>
      <c r="O50" s="441"/>
      <c r="P50" s="442"/>
      <c r="Q50" s="529">
        <v>42</v>
      </c>
      <c r="R50" s="547">
        <f>(C50-F50-J50-K50)+G50</f>
        <v>56</v>
      </c>
      <c r="S50" s="434">
        <f t="shared" si="2"/>
        <v>0.9354838709677419</v>
      </c>
    </row>
    <row r="51" spans="1:26" ht="18.75" customHeight="1">
      <c r="A51" s="398" t="s">
        <v>55</v>
      </c>
      <c r="B51" s="419" t="s">
        <v>444</v>
      </c>
      <c r="C51" s="466">
        <f t="shared" si="18"/>
        <v>685</v>
      </c>
      <c r="D51" s="466">
        <f>SUM(D52:D54)</f>
        <v>150</v>
      </c>
      <c r="E51" s="466">
        <f>SUM(E52:E54)</f>
        <v>535</v>
      </c>
      <c r="F51" s="466">
        <f>SUM(F52:F54)</f>
        <v>5</v>
      </c>
      <c r="G51" s="466">
        <f>SUM(G52:G54)</f>
        <v>0</v>
      </c>
      <c r="H51" s="466">
        <f>I51+Q51</f>
        <v>680</v>
      </c>
      <c r="I51" s="466">
        <f>SUM(J51:P51)</f>
        <v>541</v>
      </c>
      <c r="J51" s="466">
        <f aca="true" t="shared" si="19" ref="J51:R51">SUM(J52:J54)</f>
        <v>457</v>
      </c>
      <c r="K51" s="466">
        <f t="shared" si="19"/>
        <v>5</v>
      </c>
      <c r="L51" s="466">
        <f t="shared" si="19"/>
        <v>79</v>
      </c>
      <c r="M51" s="466">
        <f t="shared" si="19"/>
        <v>0</v>
      </c>
      <c r="N51" s="466">
        <f t="shared" si="19"/>
        <v>0</v>
      </c>
      <c r="O51" s="466">
        <f t="shared" si="19"/>
        <v>0</v>
      </c>
      <c r="P51" s="466">
        <f t="shared" si="19"/>
        <v>0</v>
      </c>
      <c r="Q51" s="466">
        <f t="shared" si="19"/>
        <v>139</v>
      </c>
      <c r="R51" s="466">
        <f t="shared" si="19"/>
        <v>218</v>
      </c>
      <c r="S51" s="467">
        <f t="shared" si="2"/>
        <v>0.8539741219963032</v>
      </c>
      <c r="T51" s="575">
        <f>I51/H51</f>
        <v>0.7955882352941176</v>
      </c>
      <c r="U51" s="576">
        <f>(R51-Q51-44)/44</f>
        <v>0.7954545454545454</v>
      </c>
      <c r="V51" s="563">
        <f>(C51-602)/602</f>
        <v>0.1378737541528239</v>
      </c>
      <c r="W51" s="563">
        <f>(E51-482)/482</f>
        <v>0.10995850622406639</v>
      </c>
      <c r="X51" s="563">
        <f>(H51-599)/599</f>
        <v>0.1352253756260434</v>
      </c>
      <c r="Y51" s="563">
        <f>(I51-490)/490</f>
        <v>0.10408163265306122</v>
      </c>
      <c r="Z51" s="563">
        <f>(J51+K51-421)/411</f>
        <v>0.09975669099756691</v>
      </c>
    </row>
    <row r="52" spans="1:19" ht="18.75" customHeight="1">
      <c r="A52" s="422" t="s">
        <v>43</v>
      </c>
      <c r="B52" s="438" t="s">
        <v>445</v>
      </c>
      <c r="C52" s="430">
        <f t="shared" si="18"/>
        <v>136</v>
      </c>
      <c r="D52" s="463">
        <v>28</v>
      </c>
      <c r="E52" s="463">
        <v>108</v>
      </c>
      <c r="F52" s="463">
        <v>2</v>
      </c>
      <c r="G52" s="542">
        <v>0</v>
      </c>
      <c r="H52" s="430">
        <f t="shared" si="11"/>
        <v>134</v>
      </c>
      <c r="I52" s="430">
        <f t="shared" si="8"/>
        <v>107</v>
      </c>
      <c r="J52" s="463">
        <v>99</v>
      </c>
      <c r="K52" s="463"/>
      <c r="L52" s="463">
        <v>8</v>
      </c>
      <c r="M52" s="463">
        <v>0</v>
      </c>
      <c r="N52" s="464"/>
      <c r="O52" s="464"/>
      <c r="P52" s="464"/>
      <c r="Q52" s="465">
        <v>27</v>
      </c>
      <c r="R52" s="430">
        <f>(C52-F52-J52-K52)+G52</f>
        <v>35</v>
      </c>
      <c r="S52" s="437">
        <f t="shared" si="2"/>
        <v>0.9252336448598131</v>
      </c>
    </row>
    <row r="53" spans="1:19" ht="18.75" customHeight="1">
      <c r="A53" s="422" t="s">
        <v>44</v>
      </c>
      <c r="B53" s="438" t="s">
        <v>446</v>
      </c>
      <c r="C53" s="430">
        <f t="shared" si="18"/>
        <v>232</v>
      </c>
      <c r="D53" s="463">
        <v>54</v>
      </c>
      <c r="E53" s="463">
        <v>178</v>
      </c>
      <c r="F53" s="463"/>
      <c r="G53" s="542">
        <v>0</v>
      </c>
      <c r="H53" s="430">
        <f t="shared" si="11"/>
        <v>232</v>
      </c>
      <c r="I53" s="430">
        <f t="shared" si="8"/>
        <v>183</v>
      </c>
      <c r="J53" s="463">
        <v>150</v>
      </c>
      <c r="K53" s="463">
        <v>1</v>
      </c>
      <c r="L53" s="463">
        <v>32</v>
      </c>
      <c r="M53" s="463"/>
      <c r="N53" s="464"/>
      <c r="O53" s="464"/>
      <c r="P53" s="464"/>
      <c r="Q53" s="465">
        <v>49</v>
      </c>
      <c r="R53" s="430">
        <f>(C53-F53-J53-K53)+G53</f>
        <v>81</v>
      </c>
      <c r="S53" s="437">
        <f t="shared" si="2"/>
        <v>0.825136612021858</v>
      </c>
    </row>
    <row r="54" spans="1:19" ht="18.75" customHeight="1">
      <c r="A54" s="422" t="s">
        <v>45</v>
      </c>
      <c r="B54" s="528" t="s">
        <v>440</v>
      </c>
      <c r="C54" s="430">
        <f t="shared" si="18"/>
        <v>317</v>
      </c>
      <c r="D54" s="463">
        <v>68</v>
      </c>
      <c r="E54" s="463">
        <v>249</v>
      </c>
      <c r="F54" s="463">
        <v>3</v>
      </c>
      <c r="G54" s="542">
        <v>0</v>
      </c>
      <c r="H54" s="430">
        <f t="shared" si="11"/>
        <v>314</v>
      </c>
      <c r="I54" s="430">
        <f t="shared" si="8"/>
        <v>251</v>
      </c>
      <c r="J54" s="463">
        <v>208</v>
      </c>
      <c r="K54" s="463">
        <v>4</v>
      </c>
      <c r="L54" s="463">
        <v>39</v>
      </c>
      <c r="M54" s="463"/>
      <c r="N54" s="464"/>
      <c r="O54" s="464"/>
      <c r="P54" s="464"/>
      <c r="Q54" s="465">
        <v>63</v>
      </c>
      <c r="R54" s="430">
        <f>(C54-F54-J54-K54)+G54</f>
        <v>102</v>
      </c>
      <c r="S54" s="437">
        <f t="shared" si="2"/>
        <v>0.8446215139442231</v>
      </c>
    </row>
    <row r="55" spans="1:26" ht="18.75" customHeight="1">
      <c r="A55" s="398" t="s">
        <v>56</v>
      </c>
      <c r="B55" s="419" t="s">
        <v>449</v>
      </c>
      <c r="C55" s="425">
        <f t="shared" si="18"/>
        <v>168</v>
      </c>
      <c r="D55" s="425">
        <f>SUM(D56:D57)</f>
        <v>56</v>
      </c>
      <c r="E55" s="425">
        <f>SUM(E56:E57)</f>
        <v>112</v>
      </c>
      <c r="F55" s="425">
        <f>SUM(F56:F57)</f>
        <v>3</v>
      </c>
      <c r="G55" s="425">
        <f>SUM(G56:G57)</f>
        <v>0</v>
      </c>
      <c r="H55" s="425">
        <f>I55+Q55</f>
        <v>165</v>
      </c>
      <c r="I55" s="425">
        <f aca="true" t="shared" si="20" ref="I55:R55">SUM(I56:I57)</f>
        <v>115</v>
      </c>
      <c r="J55" s="425">
        <f t="shared" si="20"/>
        <v>99</v>
      </c>
      <c r="K55" s="425">
        <f t="shared" si="20"/>
        <v>1</v>
      </c>
      <c r="L55" s="425">
        <f t="shared" si="20"/>
        <v>15</v>
      </c>
      <c r="M55" s="425">
        <f t="shared" si="20"/>
        <v>0</v>
      </c>
      <c r="N55" s="425">
        <f t="shared" si="20"/>
        <v>0</v>
      </c>
      <c r="O55" s="425">
        <f t="shared" si="20"/>
        <v>0</v>
      </c>
      <c r="P55" s="425">
        <f t="shared" si="20"/>
        <v>0</v>
      </c>
      <c r="Q55" s="425">
        <f t="shared" si="20"/>
        <v>50</v>
      </c>
      <c r="R55" s="425">
        <f t="shared" si="20"/>
        <v>65</v>
      </c>
      <c r="S55" s="424">
        <f t="shared" si="2"/>
        <v>0.8695652173913043</v>
      </c>
      <c r="T55" s="577">
        <f>I55/H55</f>
        <v>0.696969696969697</v>
      </c>
      <c r="U55" s="578">
        <f>(R55-Q55-14)/14</f>
        <v>0.07142857142857142</v>
      </c>
      <c r="V55" s="563">
        <f>(C55-154)/154</f>
        <v>0.09090909090909091</v>
      </c>
      <c r="W55" s="563">
        <f>(E55-113)/113</f>
        <v>-0.008849557522123894</v>
      </c>
      <c r="X55" s="563">
        <f>(H55-154)/154</f>
        <v>0.07142857142857142</v>
      </c>
      <c r="Y55" s="563">
        <f>(I55-115)/115</f>
        <v>0</v>
      </c>
      <c r="Z55" s="563">
        <f>(J55+K55-104)/104</f>
        <v>-0.038461538461538464</v>
      </c>
    </row>
    <row r="56" spans="1:19" ht="18.75" customHeight="1">
      <c r="A56" s="432" t="s">
        <v>43</v>
      </c>
      <c r="B56" s="515" t="s">
        <v>442</v>
      </c>
      <c r="C56" s="547">
        <f t="shared" si="18"/>
        <v>89</v>
      </c>
      <c r="D56" s="463">
        <v>20</v>
      </c>
      <c r="E56" s="463">
        <v>69</v>
      </c>
      <c r="F56" s="463">
        <v>2</v>
      </c>
      <c r="G56" s="549">
        <v>0</v>
      </c>
      <c r="H56" s="547">
        <f t="shared" si="11"/>
        <v>87</v>
      </c>
      <c r="I56" s="547">
        <f t="shared" si="8"/>
        <v>72</v>
      </c>
      <c r="J56" s="463">
        <v>61</v>
      </c>
      <c r="K56" s="463">
        <v>0</v>
      </c>
      <c r="L56" s="463">
        <v>11</v>
      </c>
      <c r="M56" s="463">
        <v>0</v>
      </c>
      <c r="N56" s="464">
        <v>0</v>
      </c>
      <c r="O56" s="464">
        <v>0</v>
      </c>
      <c r="P56" s="464">
        <v>0</v>
      </c>
      <c r="Q56" s="465">
        <v>15</v>
      </c>
      <c r="R56" s="547">
        <f>(C56-F56-J56-K56)+G56</f>
        <v>26</v>
      </c>
      <c r="S56" s="434">
        <f t="shared" si="2"/>
        <v>0.8472222222222222</v>
      </c>
    </row>
    <row r="57" spans="1:19" ht="23.25" customHeight="1">
      <c r="A57" s="432" t="s">
        <v>44</v>
      </c>
      <c r="B57" s="433" t="s">
        <v>451</v>
      </c>
      <c r="C57" s="547">
        <f t="shared" si="18"/>
        <v>79</v>
      </c>
      <c r="D57" s="463">
        <v>36</v>
      </c>
      <c r="E57" s="463">
        <v>43</v>
      </c>
      <c r="F57" s="463">
        <v>1</v>
      </c>
      <c r="G57" s="549">
        <v>0</v>
      </c>
      <c r="H57" s="547">
        <f t="shared" si="11"/>
        <v>78</v>
      </c>
      <c r="I57" s="547">
        <f t="shared" si="8"/>
        <v>43</v>
      </c>
      <c r="J57" s="463">
        <v>38</v>
      </c>
      <c r="K57" s="463">
        <v>1</v>
      </c>
      <c r="L57" s="463">
        <v>4</v>
      </c>
      <c r="M57" s="463">
        <v>0</v>
      </c>
      <c r="N57" s="464">
        <v>0</v>
      </c>
      <c r="O57" s="464">
        <v>0</v>
      </c>
      <c r="P57" s="464">
        <v>0</v>
      </c>
      <c r="Q57" s="465">
        <v>35</v>
      </c>
      <c r="R57" s="547">
        <f>(C57-F57-J57-K57)+G57</f>
        <v>39</v>
      </c>
      <c r="S57" s="435">
        <f t="shared" si="2"/>
        <v>0.9069767441860465</v>
      </c>
    </row>
    <row r="58" spans="1:26" ht="18.75" customHeight="1">
      <c r="A58" s="398" t="s">
        <v>57</v>
      </c>
      <c r="B58" s="419" t="s">
        <v>452</v>
      </c>
      <c r="C58" s="425">
        <f>E58+D58</f>
        <v>78</v>
      </c>
      <c r="D58" s="425">
        <f>D59+D60</f>
        <v>17</v>
      </c>
      <c r="E58" s="425">
        <f>E59+E60</f>
        <v>61</v>
      </c>
      <c r="F58" s="425">
        <f>F59+F60</f>
        <v>1</v>
      </c>
      <c r="G58" s="425">
        <f>G59+G60</f>
        <v>0</v>
      </c>
      <c r="H58" s="425">
        <f>I58+Q58</f>
        <v>77</v>
      </c>
      <c r="I58" s="425">
        <f aca="true" t="shared" si="21" ref="I58:Q58">I59+I60</f>
        <v>49</v>
      </c>
      <c r="J58" s="425">
        <f t="shared" si="21"/>
        <v>39</v>
      </c>
      <c r="K58" s="425">
        <f t="shared" si="21"/>
        <v>0</v>
      </c>
      <c r="L58" s="425">
        <f t="shared" si="21"/>
        <v>10</v>
      </c>
      <c r="M58" s="425">
        <f t="shared" si="21"/>
        <v>0</v>
      </c>
      <c r="N58" s="425">
        <f t="shared" si="21"/>
        <v>0</v>
      </c>
      <c r="O58" s="425">
        <f t="shared" si="21"/>
        <v>0</v>
      </c>
      <c r="P58" s="425">
        <f t="shared" si="21"/>
        <v>0</v>
      </c>
      <c r="Q58" s="425">
        <f t="shared" si="21"/>
        <v>28</v>
      </c>
      <c r="R58" s="527">
        <f>(C58-F58-J58-K58)+G58</f>
        <v>38</v>
      </c>
      <c r="S58" s="500">
        <f>SUM(J58:K58)/SUM(I58)*100%</f>
        <v>0.7959183673469388</v>
      </c>
      <c r="T58" s="569">
        <f>I58/H58</f>
        <v>0.6363636363636364</v>
      </c>
      <c r="U58" s="570">
        <f>(R58-Q58-1)/1</f>
        <v>9</v>
      </c>
      <c r="V58" s="563">
        <f>(C58-63)/63</f>
        <v>0.23809523809523808</v>
      </c>
      <c r="W58" s="563">
        <f>(E58-53)/53</f>
        <v>0.1509433962264151</v>
      </c>
      <c r="X58" s="563">
        <f>(H58-63)/63</f>
        <v>0.2222222222222222</v>
      </c>
      <c r="Y58" s="563">
        <f>(I58-47)/47</f>
        <v>0.0425531914893617</v>
      </c>
      <c r="Z58" s="563">
        <f>(J58+K58-37)/37</f>
        <v>0.05405405405405406</v>
      </c>
    </row>
    <row r="59" spans="1:19" ht="18.75" customHeight="1">
      <c r="A59" s="422" t="s">
        <v>43</v>
      </c>
      <c r="B59" s="421" t="s">
        <v>453</v>
      </c>
      <c r="C59" s="554">
        <f>D59+E59</f>
        <v>28</v>
      </c>
      <c r="D59" s="550">
        <v>4</v>
      </c>
      <c r="E59" s="551">
        <v>24</v>
      </c>
      <c r="F59" s="551">
        <v>1</v>
      </c>
      <c r="G59" s="555">
        <v>0</v>
      </c>
      <c r="H59" s="554">
        <f t="shared" si="11"/>
        <v>27</v>
      </c>
      <c r="I59" s="554">
        <f t="shared" si="8"/>
        <v>21</v>
      </c>
      <c r="J59" s="474">
        <v>16</v>
      </c>
      <c r="K59" s="474">
        <v>0</v>
      </c>
      <c r="L59" s="474">
        <v>5</v>
      </c>
      <c r="M59" s="474">
        <v>0</v>
      </c>
      <c r="N59" s="474">
        <v>0</v>
      </c>
      <c r="O59" s="474">
        <v>0</v>
      </c>
      <c r="P59" s="474">
        <v>0</v>
      </c>
      <c r="Q59" s="474">
        <v>6</v>
      </c>
      <c r="R59" s="547">
        <f>(C59-F59-J59-K59)+G59</f>
        <v>11</v>
      </c>
      <c r="S59" s="501">
        <f>SUM(J59:K59)/SUM(I59)*100%</f>
        <v>0.7619047619047619</v>
      </c>
    </row>
    <row r="60" spans="1:19" ht="18.75" customHeight="1">
      <c r="A60" s="422" t="s">
        <v>44</v>
      </c>
      <c r="B60" s="421" t="s">
        <v>454</v>
      </c>
      <c r="C60" s="554">
        <f>D60+E60</f>
        <v>50</v>
      </c>
      <c r="D60" s="550">
        <v>13</v>
      </c>
      <c r="E60" s="551">
        <v>37</v>
      </c>
      <c r="F60" s="551">
        <v>0</v>
      </c>
      <c r="G60" s="555">
        <v>0</v>
      </c>
      <c r="H60" s="554">
        <f t="shared" si="11"/>
        <v>50</v>
      </c>
      <c r="I60" s="554">
        <f t="shared" si="8"/>
        <v>28</v>
      </c>
      <c r="J60" s="474">
        <v>23</v>
      </c>
      <c r="K60" s="474">
        <v>0</v>
      </c>
      <c r="L60" s="474">
        <v>5</v>
      </c>
      <c r="M60" s="474">
        <v>0</v>
      </c>
      <c r="N60" s="474">
        <v>0</v>
      </c>
      <c r="O60" s="474">
        <v>0</v>
      </c>
      <c r="P60" s="474">
        <v>0</v>
      </c>
      <c r="Q60" s="474">
        <v>22</v>
      </c>
      <c r="R60" s="547">
        <f>(C60-F60-J60-K60)+G60</f>
        <v>27</v>
      </c>
      <c r="S60" s="501">
        <f>SUM(J60:K60)/SUM(I60)*100%</f>
        <v>0.8214285714285714</v>
      </c>
    </row>
    <row r="61" spans="1:20" ht="18.75" customHeight="1">
      <c r="A61" s="922" t="s">
        <v>469</v>
      </c>
      <c r="B61" s="922"/>
      <c r="C61" s="922"/>
      <c r="D61" s="922"/>
      <c r="E61" s="922"/>
      <c r="F61" s="922"/>
      <c r="G61" s="922"/>
      <c r="H61" s="922"/>
      <c r="I61" s="922"/>
      <c r="J61" s="922"/>
      <c r="K61" s="922"/>
      <c r="L61" s="922"/>
      <c r="M61" s="922"/>
      <c r="N61" s="922"/>
      <c r="O61" s="922"/>
      <c r="P61" s="922"/>
      <c r="Q61" s="922"/>
      <c r="R61" s="922"/>
      <c r="S61" s="922"/>
      <c r="T61" s="922"/>
    </row>
    <row r="62" spans="1:19" s="380" customFormat="1" ht="29.25" customHeight="1">
      <c r="A62" s="896"/>
      <c r="B62" s="896"/>
      <c r="C62" s="896"/>
      <c r="D62" s="896"/>
      <c r="E62" s="896"/>
      <c r="F62" s="407"/>
      <c r="G62" s="407"/>
      <c r="H62" s="407"/>
      <c r="I62" s="407"/>
      <c r="J62" s="407"/>
      <c r="K62" s="407"/>
      <c r="L62" s="407"/>
      <c r="M62" s="407"/>
      <c r="N62" s="897" t="e">
        <f>#REF!</f>
        <v>#REF!</v>
      </c>
      <c r="O62" s="897"/>
      <c r="P62" s="897"/>
      <c r="Q62" s="897"/>
      <c r="R62" s="897"/>
      <c r="S62" s="897"/>
    </row>
    <row r="63" spans="1:19" s="381" customFormat="1" ht="19.5" customHeight="1">
      <c r="A63" s="409"/>
      <c r="B63" s="931" t="s">
        <v>4</v>
      </c>
      <c r="C63" s="931"/>
      <c r="D63" s="931"/>
      <c r="E63" s="931"/>
      <c r="F63" s="405"/>
      <c r="G63" s="405"/>
      <c r="H63" s="405"/>
      <c r="I63" s="405"/>
      <c r="J63" s="405"/>
      <c r="K63" s="405"/>
      <c r="L63" s="405"/>
      <c r="M63" s="405"/>
      <c r="N63" s="895" t="e">
        <f>#REF!</f>
        <v>#REF!</v>
      </c>
      <c r="O63" s="895"/>
      <c r="P63" s="895"/>
      <c r="Q63" s="895"/>
      <c r="R63" s="895"/>
      <c r="S63" s="895"/>
    </row>
    <row r="64" spans="1:19" ht="18.75">
      <c r="A64" s="403"/>
      <c r="B64" s="921"/>
      <c r="C64" s="921"/>
      <c r="D64" s="921"/>
      <c r="E64" s="404"/>
      <c r="F64" s="404"/>
      <c r="G64" s="404"/>
      <c r="H64" s="404"/>
      <c r="I64" s="404"/>
      <c r="J64" s="404"/>
      <c r="K64" s="404"/>
      <c r="L64" s="404"/>
      <c r="M64" s="404"/>
      <c r="N64" s="919"/>
      <c r="O64" s="919"/>
      <c r="P64" s="919"/>
      <c r="Q64" s="919"/>
      <c r="R64" s="919"/>
      <c r="S64" s="919"/>
    </row>
    <row r="65" spans="1:19" ht="18.75">
      <c r="A65" s="403"/>
      <c r="B65" s="403"/>
      <c r="C65" s="403"/>
      <c r="D65" s="404"/>
      <c r="E65" s="404"/>
      <c r="F65" s="404"/>
      <c r="G65" s="404"/>
      <c r="H65" s="404"/>
      <c r="I65" s="404"/>
      <c r="J65" s="404"/>
      <c r="K65" s="404"/>
      <c r="L65" s="404"/>
      <c r="M65" s="404"/>
      <c r="N65" s="404"/>
      <c r="O65" s="404"/>
      <c r="P65" s="404"/>
      <c r="Q65" s="404"/>
      <c r="R65" s="403"/>
      <c r="S65" s="403"/>
    </row>
    <row r="66" spans="1:19" ht="18.75">
      <c r="A66" s="403"/>
      <c r="B66" s="919"/>
      <c r="C66" s="919"/>
      <c r="D66" s="919"/>
      <c r="E66" s="919"/>
      <c r="F66" s="404"/>
      <c r="G66" s="404"/>
      <c r="H66" s="404"/>
      <c r="I66" s="404"/>
      <c r="J66" s="404"/>
      <c r="K66" s="404"/>
      <c r="L66" s="404"/>
      <c r="M66" s="404"/>
      <c r="N66" s="404"/>
      <c r="O66" s="404"/>
      <c r="P66" s="919"/>
      <c r="Q66" s="919"/>
      <c r="R66" s="919"/>
      <c r="S66" s="403"/>
    </row>
    <row r="67" spans="1:19" ht="15.75" customHeight="1">
      <c r="A67" s="410"/>
      <c r="B67" s="403"/>
      <c r="C67" s="403"/>
      <c r="D67" s="404"/>
      <c r="E67" s="404"/>
      <c r="F67" s="404"/>
      <c r="G67" s="404"/>
      <c r="H67" s="404"/>
      <c r="I67" s="404"/>
      <c r="J67" s="404"/>
      <c r="K67" s="404"/>
      <c r="L67" s="404"/>
      <c r="M67" s="404"/>
      <c r="N67" s="404"/>
      <c r="O67" s="404"/>
      <c r="P67" s="404"/>
      <c r="Q67" s="404"/>
      <c r="R67" s="403"/>
      <c r="S67" s="403"/>
    </row>
    <row r="68" spans="1:19" ht="15.75" customHeight="1">
      <c r="A68" s="403"/>
      <c r="B68" s="920"/>
      <c r="C68" s="920"/>
      <c r="D68" s="920"/>
      <c r="E68" s="920"/>
      <c r="F68" s="920"/>
      <c r="G68" s="920"/>
      <c r="H68" s="920"/>
      <c r="I68" s="920"/>
      <c r="J68" s="920"/>
      <c r="K68" s="920"/>
      <c r="L68" s="920"/>
      <c r="M68" s="920"/>
      <c r="N68" s="920"/>
      <c r="O68" s="920"/>
      <c r="P68" s="404"/>
      <c r="Q68" s="404"/>
      <c r="R68" s="403"/>
      <c r="S68" s="403"/>
    </row>
    <row r="69" spans="1:19" ht="18.75">
      <c r="A69" s="406"/>
      <c r="B69" s="406"/>
      <c r="C69" s="406"/>
      <c r="D69" s="406"/>
      <c r="E69" s="406"/>
      <c r="F69" s="406"/>
      <c r="G69" s="406"/>
      <c r="H69" s="406"/>
      <c r="I69" s="406"/>
      <c r="J69" s="406"/>
      <c r="K69" s="406"/>
      <c r="L69" s="406"/>
      <c r="M69" s="406"/>
      <c r="N69" s="406"/>
      <c r="O69" s="406"/>
      <c r="P69" s="406"/>
      <c r="Q69" s="403"/>
      <c r="R69" s="403"/>
      <c r="S69" s="403"/>
    </row>
    <row r="70" spans="1:19" ht="18.75">
      <c r="A70" s="403"/>
      <c r="B70" s="403"/>
      <c r="C70" s="403"/>
      <c r="D70" s="403"/>
      <c r="E70" s="403"/>
      <c r="F70" s="403"/>
      <c r="G70" s="403"/>
      <c r="H70" s="403"/>
      <c r="I70" s="403"/>
      <c r="J70" s="403"/>
      <c r="K70" s="403"/>
      <c r="L70" s="403"/>
      <c r="M70" s="403"/>
      <c r="N70" s="403"/>
      <c r="O70" s="403"/>
      <c r="P70" s="403"/>
      <c r="Q70" s="403"/>
      <c r="R70" s="403"/>
      <c r="S70" s="403"/>
    </row>
    <row r="71" spans="1:19" ht="18.75">
      <c r="A71" s="403"/>
      <c r="B71" s="923" t="e">
        <f>#REF!</f>
        <v>#REF!</v>
      </c>
      <c r="C71" s="923"/>
      <c r="D71" s="923"/>
      <c r="E71" s="923"/>
      <c r="F71" s="403"/>
      <c r="G71" s="403"/>
      <c r="H71" s="403"/>
      <c r="I71" s="403"/>
      <c r="J71" s="403"/>
      <c r="K71" s="403"/>
      <c r="L71" s="403"/>
      <c r="M71" s="403"/>
      <c r="N71" s="923" t="e">
        <f>#REF!</f>
        <v>#REF!</v>
      </c>
      <c r="O71" s="923"/>
      <c r="P71" s="923"/>
      <c r="Q71" s="923"/>
      <c r="R71" s="923"/>
      <c r="S71" s="923"/>
    </row>
    <row r="72" spans="1:19" ht="18.75">
      <c r="A72" s="389"/>
      <c r="B72" s="389"/>
      <c r="C72" s="389"/>
      <c r="D72" s="389"/>
      <c r="E72" s="389"/>
      <c r="F72" s="389"/>
      <c r="G72" s="389"/>
      <c r="H72" s="389"/>
      <c r="I72" s="389"/>
      <c r="J72" s="389"/>
      <c r="K72" s="389"/>
      <c r="L72" s="389"/>
      <c r="M72" s="389"/>
      <c r="N72" s="389"/>
      <c r="O72" s="389"/>
      <c r="P72" s="389"/>
      <c r="Q72" s="389"/>
      <c r="R72" s="389"/>
      <c r="S72" s="389"/>
    </row>
  </sheetData>
  <sheetProtection/>
  <mergeCells count="44">
    <mergeCell ref="R6:R9"/>
    <mergeCell ref="C7:C9"/>
    <mergeCell ref="N71:S71"/>
    <mergeCell ref="D7:E7"/>
    <mergeCell ref="D8:D9"/>
    <mergeCell ref="E8:E9"/>
    <mergeCell ref="J8:P8"/>
    <mergeCell ref="B71:E71"/>
    <mergeCell ref="A10:B10"/>
    <mergeCell ref="B63:E63"/>
    <mergeCell ref="A11:B11"/>
    <mergeCell ref="N64:S64"/>
    <mergeCell ref="B68:O68"/>
    <mergeCell ref="B64:D64"/>
    <mergeCell ref="B66:E66"/>
    <mergeCell ref="P66:R66"/>
    <mergeCell ref="A61:T61"/>
    <mergeCell ref="E1:O1"/>
    <mergeCell ref="E2:O2"/>
    <mergeCell ref="E3:O3"/>
    <mergeCell ref="F6:F9"/>
    <mergeCell ref="G6:G9"/>
    <mergeCell ref="H6:Q6"/>
    <mergeCell ref="C6:E6"/>
    <mergeCell ref="P4:S4"/>
    <mergeCell ref="H7:H9"/>
    <mergeCell ref="Q7:Q9"/>
    <mergeCell ref="A2:D2"/>
    <mergeCell ref="P2:S2"/>
    <mergeCell ref="A3:D3"/>
    <mergeCell ref="N63:S63"/>
    <mergeCell ref="A62:E62"/>
    <mergeCell ref="N62:S62"/>
    <mergeCell ref="A6:B9"/>
    <mergeCell ref="I8:I9"/>
    <mergeCell ref="S6:S9"/>
    <mergeCell ref="I7:P7"/>
    <mergeCell ref="Z7:Z9"/>
    <mergeCell ref="T7:T10"/>
    <mergeCell ref="U7:U10"/>
    <mergeCell ref="V7:V9"/>
    <mergeCell ref="W7:W9"/>
    <mergeCell ref="X7:X9"/>
    <mergeCell ref="Y7:Y9"/>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indexed="19"/>
  </sheetPr>
  <dimension ref="A1:AJ71"/>
  <sheetViews>
    <sheetView showZeros="0" tabSelected="1" zoomScale="85" zoomScaleNormal="85" zoomScaleSheetLayoutView="85" zoomScalePageLayoutView="0" workbookViewId="0" topLeftCell="I7">
      <pane ySplit="6" topLeftCell="A13" activePane="bottomLeft" state="frozen"/>
      <selection pane="topLeft" activeCell="A7" sqref="A7"/>
      <selection pane="bottomLeft" activeCell="AA39" sqref="AA39"/>
    </sheetView>
  </sheetViews>
  <sheetFormatPr defaultColWidth="9.00390625" defaultRowHeight="15.75"/>
  <cols>
    <col min="1" max="1" width="4.125" style="383" customWidth="1"/>
    <col min="2" max="2" width="15.625" style="383" customWidth="1"/>
    <col min="3" max="3" width="10.50390625" style="383" customWidth="1"/>
    <col min="4" max="4" width="10.25390625" style="383" customWidth="1"/>
    <col min="5" max="5" width="10.00390625" style="383" customWidth="1"/>
    <col min="6" max="6" width="8.875" style="383" customWidth="1"/>
    <col min="7" max="7" width="7.125" style="383" customWidth="1"/>
    <col min="8" max="8" width="10.25390625" style="383" customWidth="1"/>
    <col min="9" max="9" width="10.625" style="383" customWidth="1"/>
    <col min="10" max="10" width="9.625" style="383" customWidth="1"/>
    <col min="11" max="11" width="8.75390625" style="383" customWidth="1"/>
    <col min="12" max="12" width="8.50390625" style="383" customWidth="1"/>
    <col min="13" max="13" width="9.50390625" style="383" customWidth="1"/>
    <col min="14" max="14" width="8.875" style="383" customWidth="1"/>
    <col min="15" max="15" width="7.00390625" style="383" customWidth="1"/>
    <col min="16" max="16" width="4.625" style="383" customWidth="1"/>
    <col min="17" max="17" width="7.25390625" style="383" customWidth="1"/>
    <col min="18" max="18" width="12.75390625" style="383" customWidth="1"/>
    <col min="19" max="19" width="9.875" style="383" customWidth="1"/>
    <col min="20" max="20" width="8.25390625" style="383" customWidth="1"/>
    <col min="21" max="21" width="10.375" style="383" customWidth="1"/>
    <col min="22" max="22" width="10.00390625" style="383" customWidth="1"/>
    <col min="23" max="23" width="9.625" style="383" customWidth="1"/>
    <col min="24" max="24" width="9.875" style="383" customWidth="1"/>
    <col min="25" max="25" width="10.75390625" style="383" customWidth="1"/>
    <col min="26" max="26" width="9.75390625" style="383" customWidth="1"/>
    <col min="27" max="27" width="9.50390625" style="383" customWidth="1"/>
    <col min="28" max="16384" width="9.00390625" style="383" customWidth="1"/>
  </cols>
  <sheetData>
    <row r="1" spans="1:20" s="385" customFormat="1" ht="20.25" customHeight="1">
      <c r="A1" s="443" t="s">
        <v>28</v>
      </c>
      <c r="B1" s="443"/>
      <c r="C1" s="443"/>
      <c r="D1" s="444"/>
      <c r="E1" s="950" t="s">
        <v>460</v>
      </c>
      <c r="F1" s="950"/>
      <c r="G1" s="950"/>
      <c r="H1" s="950"/>
      <c r="I1" s="950"/>
      <c r="J1" s="950"/>
      <c r="K1" s="950"/>
      <c r="L1" s="950"/>
      <c r="M1" s="950"/>
      <c r="N1" s="950"/>
      <c r="O1" s="950"/>
      <c r="P1" s="950"/>
      <c r="Q1" s="445" t="s">
        <v>411</v>
      </c>
      <c r="R1" s="445"/>
      <c r="S1" s="445"/>
      <c r="T1" s="445"/>
    </row>
    <row r="2" spans="1:20" ht="17.25" customHeight="1">
      <c r="A2" s="943" t="s">
        <v>226</v>
      </c>
      <c r="B2" s="943"/>
      <c r="C2" s="943"/>
      <c r="D2" s="943"/>
      <c r="E2" s="951" t="s">
        <v>34</v>
      </c>
      <c r="F2" s="951"/>
      <c r="G2" s="951"/>
      <c r="H2" s="951"/>
      <c r="I2" s="951"/>
      <c r="J2" s="951"/>
      <c r="K2" s="951"/>
      <c r="L2" s="951"/>
      <c r="M2" s="951"/>
      <c r="N2" s="951"/>
      <c r="O2" s="951"/>
      <c r="P2" s="951"/>
      <c r="Q2" s="959" t="e">
        <f>#REF!</f>
        <v>#REF!</v>
      </c>
      <c r="R2" s="959"/>
      <c r="S2" s="959"/>
      <c r="T2" s="959"/>
    </row>
    <row r="3" spans="1:20" s="385" customFormat="1" ht="18" customHeight="1">
      <c r="A3" s="943" t="s">
        <v>227</v>
      </c>
      <c r="B3" s="943"/>
      <c r="C3" s="943"/>
      <c r="D3" s="943"/>
      <c r="E3" s="952" t="e">
        <f>#REF!</f>
        <v>#REF!</v>
      </c>
      <c r="F3" s="952"/>
      <c r="G3" s="952"/>
      <c r="H3" s="952"/>
      <c r="I3" s="952"/>
      <c r="J3" s="952"/>
      <c r="K3" s="952"/>
      <c r="L3" s="952"/>
      <c r="M3" s="952"/>
      <c r="N3" s="952"/>
      <c r="O3" s="952"/>
      <c r="P3" s="952"/>
      <c r="Q3" s="445" t="s">
        <v>463</v>
      </c>
      <c r="R3" s="443"/>
      <c r="S3" s="445"/>
      <c r="T3" s="445"/>
    </row>
    <row r="4" spans="1:20" ht="14.25" customHeight="1">
      <c r="A4" s="446" t="s">
        <v>105</v>
      </c>
      <c r="B4" s="443"/>
      <c r="C4" s="443"/>
      <c r="D4" s="443"/>
      <c r="E4" s="443"/>
      <c r="F4" s="443"/>
      <c r="G4" s="443"/>
      <c r="H4" s="443"/>
      <c r="I4" s="443"/>
      <c r="J4" s="443"/>
      <c r="K4" s="443"/>
      <c r="L4" s="443"/>
      <c r="M4" s="443"/>
      <c r="N4" s="443"/>
      <c r="O4" s="447"/>
      <c r="P4" s="447"/>
      <c r="Q4" s="945" t="s">
        <v>289</v>
      </c>
      <c r="R4" s="945"/>
      <c r="S4" s="945"/>
      <c r="T4" s="945"/>
    </row>
    <row r="5" spans="1:20" s="385" customFormat="1" ht="21.75" customHeight="1" thickBot="1">
      <c r="A5" s="444"/>
      <c r="B5" s="448"/>
      <c r="C5" s="448"/>
      <c r="D5" s="444"/>
      <c r="E5" s="444"/>
      <c r="F5" s="444"/>
      <c r="G5" s="444"/>
      <c r="H5" s="444"/>
      <c r="I5" s="444"/>
      <c r="J5" s="444"/>
      <c r="K5" s="449"/>
      <c r="L5" s="444"/>
      <c r="M5" s="444"/>
      <c r="N5" s="444"/>
      <c r="O5" s="444"/>
      <c r="P5" s="444"/>
      <c r="Q5" s="939" t="s">
        <v>412</v>
      </c>
      <c r="R5" s="939"/>
      <c r="S5" s="939"/>
      <c r="T5" s="939"/>
    </row>
    <row r="6" spans="1:36" s="385" customFormat="1" ht="18.75" customHeight="1" thickTop="1">
      <c r="A6" s="935" t="s">
        <v>53</v>
      </c>
      <c r="B6" s="936"/>
      <c r="C6" s="955" t="s">
        <v>106</v>
      </c>
      <c r="D6" s="955"/>
      <c r="E6" s="955"/>
      <c r="F6" s="953" t="s">
        <v>97</v>
      </c>
      <c r="G6" s="953" t="s">
        <v>107</v>
      </c>
      <c r="H6" s="954" t="s">
        <v>98</v>
      </c>
      <c r="I6" s="954"/>
      <c r="J6" s="954"/>
      <c r="K6" s="954"/>
      <c r="L6" s="954"/>
      <c r="M6" s="954"/>
      <c r="N6" s="954"/>
      <c r="O6" s="954"/>
      <c r="P6" s="954"/>
      <c r="Q6" s="954"/>
      <c r="R6" s="954"/>
      <c r="S6" s="955" t="s">
        <v>231</v>
      </c>
      <c r="T6" s="964" t="s">
        <v>410</v>
      </c>
      <c r="U6" s="387"/>
      <c r="V6" s="387"/>
      <c r="W6" s="387"/>
      <c r="X6" s="387"/>
      <c r="Y6" s="387"/>
      <c r="Z6" s="387"/>
      <c r="AA6" s="387"/>
      <c r="AB6" s="387"/>
      <c r="AC6" s="387"/>
      <c r="AD6" s="387"/>
      <c r="AE6" s="387"/>
      <c r="AF6" s="387"/>
      <c r="AG6" s="387"/>
      <c r="AH6" s="387"/>
      <c r="AI6" s="387"/>
      <c r="AJ6" s="387"/>
    </row>
    <row r="7" spans="1:36" s="401" customFormat="1" ht="21" customHeight="1">
      <c r="A7" s="937"/>
      <c r="B7" s="938"/>
      <c r="C7" s="949" t="s">
        <v>42</v>
      </c>
      <c r="D7" s="940" t="s">
        <v>7</v>
      </c>
      <c r="E7" s="940"/>
      <c r="F7" s="942"/>
      <c r="G7" s="942"/>
      <c r="H7" s="942" t="s">
        <v>98</v>
      </c>
      <c r="I7" s="949" t="s">
        <v>99</v>
      </c>
      <c r="J7" s="949"/>
      <c r="K7" s="949"/>
      <c r="L7" s="949"/>
      <c r="M7" s="949"/>
      <c r="N7" s="949"/>
      <c r="O7" s="949"/>
      <c r="P7" s="949"/>
      <c r="Q7" s="949"/>
      <c r="R7" s="942" t="s">
        <v>108</v>
      </c>
      <c r="S7" s="949"/>
      <c r="T7" s="965"/>
      <c r="U7" s="933" t="s">
        <v>479</v>
      </c>
      <c r="V7" s="932" t="s">
        <v>480</v>
      </c>
      <c r="W7" s="932" t="s">
        <v>474</v>
      </c>
      <c r="X7" s="932" t="s">
        <v>475</v>
      </c>
      <c r="Y7" s="932" t="s">
        <v>476</v>
      </c>
      <c r="Z7" s="932" t="s">
        <v>477</v>
      </c>
      <c r="AA7" s="932" t="s">
        <v>478</v>
      </c>
      <c r="AB7" s="390"/>
      <c r="AC7" s="390"/>
      <c r="AD7" s="390"/>
      <c r="AE7" s="390"/>
      <c r="AF7" s="390"/>
      <c r="AG7" s="390"/>
      <c r="AH7" s="390"/>
      <c r="AI7" s="390"/>
      <c r="AJ7" s="390"/>
    </row>
    <row r="8" spans="1:36" s="385" customFormat="1" ht="21.75" customHeight="1">
      <c r="A8" s="937"/>
      <c r="B8" s="938"/>
      <c r="C8" s="949"/>
      <c r="D8" s="940" t="s">
        <v>109</v>
      </c>
      <c r="E8" s="940" t="s">
        <v>110</v>
      </c>
      <c r="F8" s="942"/>
      <c r="G8" s="942"/>
      <c r="H8" s="942"/>
      <c r="I8" s="942" t="s">
        <v>409</v>
      </c>
      <c r="J8" s="940" t="s">
        <v>7</v>
      </c>
      <c r="K8" s="940"/>
      <c r="L8" s="940"/>
      <c r="M8" s="940"/>
      <c r="N8" s="940"/>
      <c r="O8" s="940"/>
      <c r="P8" s="940"/>
      <c r="Q8" s="940"/>
      <c r="R8" s="942"/>
      <c r="S8" s="949"/>
      <c r="T8" s="965"/>
      <c r="U8" s="933"/>
      <c r="V8" s="932"/>
      <c r="W8" s="932"/>
      <c r="X8" s="932"/>
      <c r="Y8" s="932"/>
      <c r="Z8" s="932"/>
      <c r="AA8" s="932"/>
      <c r="AB8" s="387"/>
      <c r="AC8" s="387"/>
      <c r="AD8" s="387"/>
      <c r="AE8" s="387"/>
      <c r="AF8" s="387"/>
      <c r="AG8" s="387"/>
      <c r="AH8" s="387"/>
      <c r="AI8" s="387"/>
      <c r="AJ8" s="387"/>
    </row>
    <row r="9" spans="1:36" s="385" customFormat="1" ht="84" customHeight="1">
      <c r="A9" s="937"/>
      <c r="B9" s="938"/>
      <c r="C9" s="949"/>
      <c r="D9" s="940"/>
      <c r="E9" s="940"/>
      <c r="F9" s="942"/>
      <c r="G9" s="942"/>
      <c r="H9" s="942"/>
      <c r="I9" s="942"/>
      <c r="J9" s="450" t="s">
        <v>111</v>
      </c>
      <c r="K9" s="450" t="s">
        <v>112</v>
      </c>
      <c r="L9" s="450" t="s">
        <v>104</v>
      </c>
      <c r="M9" s="451" t="s">
        <v>100</v>
      </c>
      <c r="N9" s="451" t="s">
        <v>113</v>
      </c>
      <c r="O9" s="451" t="s">
        <v>101</v>
      </c>
      <c r="P9" s="451" t="s">
        <v>232</v>
      </c>
      <c r="Q9" s="451" t="s">
        <v>102</v>
      </c>
      <c r="R9" s="942"/>
      <c r="S9" s="949"/>
      <c r="T9" s="965"/>
      <c r="U9" s="933"/>
      <c r="V9" s="932"/>
      <c r="W9" s="932"/>
      <c r="X9" s="932"/>
      <c r="Y9" s="932"/>
      <c r="Z9" s="932"/>
      <c r="AA9" s="932"/>
      <c r="AB9" s="387"/>
      <c r="AC9" s="387"/>
      <c r="AD9" s="387"/>
      <c r="AE9" s="387"/>
      <c r="AF9" s="387"/>
      <c r="AG9" s="387"/>
      <c r="AH9" s="387"/>
      <c r="AI9" s="387"/>
      <c r="AJ9" s="387"/>
    </row>
    <row r="10" spans="1:23" s="385" customFormat="1" ht="17.25" customHeight="1">
      <c r="A10" s="961" t="s">
        <v>6</v>
      </c>
      <c r="B10" s="962"/>
      <c r="C10" s="452">
        <v>1</v>
      </c>
      <c r="D10" s="452">
        <v>2</v>
      </c>
      <c r="E10" s="452">
        <v>3</v>
      </c>
      <c r="F10" s="452">
        <v>4</v>
      </c>
      <c r="G10" s="452">
        <v>5</v>
      </c>
      <c r="H10" s="452">
        <v>6</v>
      </c>
      <c r="I10" s="452">
        <v>7</v>
      </c>
      <c r="J10" s="452">
        <v>8</v>
      </c>
      <c r="K10" s="452">
        <v>9</v>
      </c>
      <c r="L10" s="452" t="s">
        <v>79</v>
      </c>
      <c r="M10" s="452" t="s">
        <v>80</v>
      </c>
      <c r="N10" s="452" t="s">
        <v>81</v>
      </c>
      <c r="O10" s="452" t="s">
        <v>82</v>
      </c>
      <c r="P10" s="452" t="s">
        <v>83</v>
      </c>
      <c r="Q10" s="452" t="s">
        <v>234</v>
      </c>
      <c r="R10" s="452" t="s">
        <v>235</v>
      </c>
      <c r="S10" s="452" t="s">
        <v>236</v>
      </c>
      <c r="T10" s="453" t="s">
        <v>237</v>
      </c>
      <c r="U10" s="933"/>
      <c r="V10" s="932"/>
      <c r="W10" s="383"/>
    </row>
    <row r="11" spans="1:27" s="385" customFormat="1" ht="24" customHeight="1">
      <c r="A11" s="454"/>
      <c r="B11" s="476" t="s">
        <v>115</v>
      </c>
      <c r="C11" s="480">
        <f>D11+E11</f>
        <v>121883085</v>
      </c>
      <c r="D11" s="477">
        <f aca="true" t="shared" si="0" ref="D11:S11">D12+D24+D32+D39+D47+D51+D55+D58</f>
        <v>78414739</v>
      </c>
      <c r="E11" s="477">
        <f t="shared" si="0"/>
        <v>43468346</v>
      </c>
      <c r="F11" s="477">
        <f t="shared" si="0"/>
        <v>3704384</v>
      </c>
      <c r="G11" s="478">
        <f t="shared" si="0"/>
        <v>570000</v>
      </c>
      <c r="H11" s="478">
        <f t="shared" si="0"/>
        <v>118178701</v>
      </c>
      <c r="I11" s="478">
        <f t="shared" si="0"/>
        <v>68945961</v>
      </c>
      <c r="J11" s="477">
        <f t="shared" si="0"/>
        <v>13451989</v>
      </c>
      <c r="K11" s="478">
        <f t="shared" si="0"/>
        <v>5181122</v>
      </c>
      <c r="L11" s="478">
        <f t="shared" si="0"/>
        <v>129876</v>
      </c>
      <c r="M11" s="478">
        <f t="shared" si="0"/>
        <v>33537925</v>
      </c>
      <c r="N11" s="478">
        <f t="shared" si="0"/>
        <v>16481477</v>
      </c>
      <c r="O11" s="478">
        <f t="shared" si="0"/>
        <v>0</v>
      </c>
      <c r="P11" s="478">
        <f t="shared" si="0"/>
        <v>0</v>
      </c>
      <c r="Q11" s="478">
        <f t="shared" si="0"/>
        <v>163572</v>
      </c>
      <c r="R11" s="478">
        <f t="shared" si="0"/>
        <v>49232740</v>
      </c>
      <c r="S11" s="478">
        <f t="shared" si="0"/>
        <v>99415714</v>
      </c>
      <c r="T11" s="479">
        <f>(K11+J11+L11)/I11</f>
        <v>0.272140481151608</v>
      </c>
      <c r="U11" s="579">
        <f>I11/H11</f>
        <v>0.5834042887305049</v>
      </c>
      <c r="V11" s="579">
        <f>(S11-R11-52622445)/52622445</f>
        <v>-0.04635799419810311</v>
      </c>
      <c r="W11" s="563">
        <f>(C11-98555746)/98555746</f>
        <v>0.23669182109382034</v>
      </c>
      <c r="X11" s="563">
        <f>(E11-47503789)/47503789</f>
        <v>-0.08494991841598151</v>
      </c>
      <c r="Y11" s="563">
        <f>(H11-94968658)/94968658</f>
        <v>0.2443968724923964</v>
      </c>
      <c r="Z11" s="563">
        <f>(I11-70278838)/70278838</f>
        <v>-0.018965552617702643</v>
      </c>
      <c r="AA11" s="563">
        <f>(J11+K11+L11-14945731)/14945731</f>
        <v>0.25540778166019446</v>
      </c>
    </row>
    <row r="12" spans="1:27" s="385" customFormat="1" ht="26.25" customHeight="1">
      <c r="A12" s="455" t="s">
        <v>0</v>
      </c>
      <c r="B12" s="469" t="s">
        <v>456</v>
      </c>
      <c r="C12" s="480">
        <f>D12+E12</f>
        <v>14860872</v>
      </c>
      <c r="D12" s="480">
        <f aca="true" t="shared" si="1" ref="D12:S12">SUM(D13:D22)</f>
        <v>5780766</v>
      </c>
      <c r="E12" s="480">
        <f t="shared" si="1"/>
        <v>9080106</v>
      </c>
      <c r="F12" s="480">
        <f t="shared" si="1"/>
        <v>970985</v>
      </c>
      <c r="G12" s="480">
        <f t="shared" si="1"/>
        <v>570000</v>
      </c>
      <c r="H12" s="480">
        <f t="shared" si="1"/>
        <v>13889887</v>
      </c>
      <c r="I12" s="480">
        <f t="shared" si="1"/>
        <v>2266805</v>
      </c>
      <c r="J12" s="480">
        <f t="shared" si="1"/>
        <v>1678780</v>
      </c>
      <c r="K12" s="480">
        <f t="shared" si="1"/>
        <v>2089</v>
      </c>
      <c r="L12" s="480">
        <f t="shared" si="1"/>
        <v>76291</v>
      </c>
      <c r="M12" s="480">
        <f t="shared" si="1"/>
        <v>509645</v>
      </c>
      <c r="N12" s="480">
        <f t="shared" si="1"/>
        <v>0</v>
      </c>
      <c r="O12" s="480">
        <f t="shared" si="1"/>
        <v>0</v>
      </c>
      <c r="P12" s="480">
        <f t="shared" si="1"/>
        <v>0</v>
      </c>
      <c r="Q12" s="480">
        <f t="shared" si="1"/>
        <v>0</v>
      </c>
      <c r="R12" s="480">
        <f t="shared" si="1"/>
        <v>11623082</v>
      </c>
      <c r="S12" s="480">
        <f t="shared" si="1"/>
        <v>12132727</v>
      </c>
      <c r="T12" s="481">
        <f>(K12+J12+L12)/I12</f>
        <v>0.7751703388690249</v>
      </c>
      <c r="U12" s="580">
        <f>I12/H12</f>
        <v>0.16319823192226113</v>
      </c>
      <c r="V12" s="580">
        <f>(S12-R12-3081292)/3081292</f>
        <v>-0.8346002261389054</v>
      </c>
      <c r="W12" s="563">
        <f>(C12-6700859)/6700859</f>
        <v>1.2177562608017867</v>
      </c>
      <c r="X12" s="563">
        <f>(E12-1475661)/1475661</f>
        <v>5.153246578990703</v>
      </c>
      <c r="Y12" s="563">
        <f>(H12-6564452)/6564452</f>
        <v>1.1159248327202331</v>
      </c>
      <c r="Z12" s="563">
        <f>(I12-3879024)/3879024</f>
        <v>-0.41562490977111766</v>
      </c>
      <c r="AA12" s="563">
        <f>(J12+K12+L12-741934)/741934</f>
        <v>1.368350823658169</v>
      </c>
    </row>
    <row r="13" spans="1:23" s="385" customFormat="1" ht="26.25" customHeight="1">
      <c r="A13" s="456" t="s">
        <v>43</v>
      </c>
      <c r="B13" s="482" t="s">
        <v>413</v>
      </c>
      <c r="C13" s="483">
        <f aca="true" t="shared" si="2" ref="C13:C22">D13+E13</f>
        <v>1150549</v>
      </c>
      <c r="D13" s="502">
        <v>678147</v>
      </c>
      <c r="E13" s="503">
        <v>472402</v>
      </c>
      <c r="F13" s="504">
        <v>279631</v>
      </c>
      <c r="G13" s="484">
        <v>0</v>
      </c>
      <c r="H13" s="483">
        <f aca="true" t="shared" si="3" ref="H13:H31">I13+R13</f>
        <v>870918</v>
      </c>
      <c r="I13" s="483">
        <f aca="true" t="shared" si="4" ref="I13:I21">J13+K13+L13+M13+N13+O13+P13+Q13</f>
        <v>186804</v>
      </c>
      <c r="J13" s="503">
        <v>170521</v>
      </c>
      <c r="K13" s="503">
        <v>0</v>
      </c>
      <c r="L13" s="503">
        <v>16283</v>
      </c>
      <c r="M13" s="503">
        <v>0</v>
      </c>
      <c r="N13" s="504"/>
      <c r="O13" s="508">
        <v>0</v>
      </c>
      <c r="P13" s="508">
        <v>0</v>
      </c>
      <c r="Q13" s="508"/>
      <c r="R13" s="509">
        <v>684114</v>
      </c>
      <c r="S13" s="483">
        <f>C13-F13-J13-K13-L13</f>
        <v>684114</v>
      </c>
      <c r="T13" s="485">
        <f aca="true" t="shared" si="5" ref="T13:T60">(K13+J13+L13)/I13</f>
        <v>1</v>
      </c>
      <c r="W13" s="1"/>
    </row>
    <row r="14" spans="1:20" s="385" customFormat="1" ht="26.25" customHeight="1">
      <c r="A14" s="456" t="s">
        <v>44</v>
      </c>
      <c r="B14" s="482" t="s">
        <v>414</v>
      </c>
      <c r="C14" s="483">
        <f t="shared" si="2"/>
        <v>5958096</v>
      </c>
      <c r="D14" s="502">
        <v>1852547</v>
      </c>
      <c r="E14" s="503">
        <v>4105549</v>
      </c>
      <c r="F14" s="504">
        <v>5989</v>
      </c>
      <c r="G14" s="484">
        <v>0</v>
      </c>
      <c r="H14" s="483">
        <f t="shared" si="3"/>
        <v>5952107</v>
      </c>
      <c r="I14" s="483">
        <f t="shared" si="4"/>
        <v>1047803</v>
      </c>
      <c r="J14" s="503">
        <v>541515</v>
      </c>
      <c r="K14" s="503">
        <v>0</v>
      </c>
      <c r="L14" s="503">
        <v>6243</v>
      </c>
      <c r="M14" s="503">
        <v>500045</v>
      </c>
      <c r="N14" s="504"/>
      <c r="O14" s="508">
        <v>0</v>
      </c>
      <c r="P14" s="508">
        <v>0</v>
      </c>
      <c r="Q14" s="508"/>
      <c r="R14" s="509">
        <v>4904304</v>
      </c>
      <c r="S14" s="483">
        <f aca="true" t="shared" si="6" ref="S14:S22">C14-F14-J14-K14-L14</f>
        <v>5404349</v>
      </c>
      <c r="T14" s="485">
        <f t="shared" si="5"/>
        <v>0.5227681157622187</v>
      </c>
    </row>
    <row r="15" spans="1:20" s="385" customFormat="1" ht="26.25" customHeight="1">
      <c r="A15" s="456" t="s">
        <v>45</v>
      </c>
      <c r="B15" s="482" t="s">
        <v>415</v>
      </c>
      <c r="C15" s="483">
        <f t="shared" si="2"/>
        <v>5461817</v>
      </c>
      <c r="D15" s="502">
        <v>1775502</v>
      </c>
      <c r="E15" s="505">
        <v>3686315</v>
      </c>
      <c r="F15" s="506">
        <v>650614</v>
      </c>
      <c r="G15" s="486">
        <v>570000</v>
      </c>
      <c r="H15" s="483">
        <f t="shared" si="3"/>
        <v>4811203</v>
      </c>
      <c r="I15" s="483">
        <f t="shared" si="4"/>
        <v>655016</v>
      </c>
      <c r="J15" s="505">
        <v>603288</v>
      </c>
      <c r="K15" s="505">
        <v>2089</v>
      </c>
      <c r="L15" s="505">
        <v>44239</v>
      </c>
      <c r="M15" s="505">
        <v>5400</v>
      </c>
      <c r="N15" s="506"/>
      <c r="O15" s="510">
        <v>0</v>
      </c>
      <c r="P15" s="510">
        <v>0</v>
      </c>
      <c r="Q15" s="510"/>
      <c r="R15" s="509">
        <v>4156187</v>
      </c>
      <c r="S15" s="483">
        <f t="shared" si="6"/>
        <v>4161587</v>
      </c>
      <c r="T15" s="485">
        <f t="shared" si="5"/>
        <v>0.991755926572786</v>
      </c>
    </row>
    <row r="16" spans="1:20" ht="24.75" customHeight="1">
      <c r="A16" s="456">
        <v>4</v>
      </c>
      <c r="B16" s="482" t="s">
        <v>416</v>
      </c>
      <c r="C16" s="483">
        <f t="shared" si="2"/>
        <v>23327</v>
      </c>
      <c r="D16" s="507">
        <v>0</v>
      </c>
      <c r="E16" s="503">
        <f>23277+50</f>
        <v>23327</v>
      </c>
      <c r="F16" s="504">
        <v>0</v>
      </c>
      <c r="G16" s="484">
        <v>0</v>
      </c>
      <c r="H16" s="483">
        <f t="shared" si="3"/>
        <v>23327</v>
      </c>
      <c r="I16" s="483">
        <f t="shared" si="4"/>
        <v>23327</v>
      </c>
      <c r="J16" s="503">
        <v>23327</v>
      </c>
      <c r="K16" s="503"/>
      <c r="L16" s="503"/>
      <c r="M16" s="503">
        <v>0</v>
      </c>
      <c r="N16" s="504"/>
      <c r="O16" s="508">
        <v>0</v>
      </c>
      <c r="P16" s="508">
        <v>0</v>
      </c>
      <c r="Q16" s="508"/>
      <c r="R16" s="509">
        <v>0</v>
      </c>
      <c r="S16" s="483">
        <f t="shared" si="6"/>
        <v>0</v>
      </c>
      <c r="T16" s="485">
        <f t="shared" si="5"/>
        <v>1</v>
      </c>
    </row>
    <row r="17" spans="1:20" ht="24.75" customHeight="1">
      <c r="A17" s="456">
        <v>5</v>
      </c>
      <c r="B17" s="482" t="s">
        <v>417</v>
      </c>
      <c r="C17" s="483">
        <f t="shared" si="2"/>
        <v>55535</v>
      </c>
      <c r="D17" s="507">
        <v>44825</v>
      </c>
      <c r="E17" s="503">
        <v>10710</v>
      </c>
      <c r="F17" s="504">
        <v>0</v>
      </c>
      <c r="G17" s="484">
        <v>0</v>
      </c>
      <c r="H17" s="483">
        <f t="shared" si="3"/>
        <v>55535</v>
      </c>
      <c r="I17" s="483">
        <f t="shared" si="4"/>
        <v>7800</v>
      </c>
      <c r="J17" s="503">
        <v>7800</v>
      </c>
      <c r="K17" s="503"/>
      <c r="L17" s="503"/>
      <c r="M17" s="503">
        <v>0</v>
      </c>
      <c r="N17" s="504"/>
      <c r="O17" s="508">
        <v>0</v>
      </c>
      <c r="P17" s="508">
        <v>0</v>
      </c>
      <c r="Q17" s="508"/>
      <c r="R17" s="509">
        <v>47735</v>
      </c>
      <c r="S17" s="483">
        <f t="shared" si="6"/>
        <v>47735</v>
      </c>
      <c r="T17" s="485">
        <f t="shared" si="5"/>
        <v>1</v>
      </c>
    </row>
    <row r="18" spans="1:20" ht="24.75" customHeight="1">
      <c r="A18" s="456">
        <v>6</v>
      </c>
      <c r="B18" s="487" t="s">
        <v>418</v>
      </c>
      <c r="C18" s="483">
        <f t="shared" si="2"/>
        <v>1844535</v>
      </c>
      <c r="D18" s="502">
        <v>1388495</v>
      </c>
      <c r="E18" s="503">
        <v>456040</v>
      </c>
      <c r="F18" s="504">
        <v>34751</v>
      </c>
      <c r="G18" s="484">
        <v>0</v>
      </c>
      <c r="H18" s="483">
        <f t="shared" si="3"/>
        <v>1809784</v>
      </c>
      <c r="I18" s="483">
        <f t="shared" si="4"/>
        <v>235053</v>
      </c>
      <c r="J18" s="503">
        <v>225527</v>
      </c>
      <c r="K18" s="503">
        <v>0</v>
      </c>
      <c r="L18" s="503">
        <v>9526</v>
      </c>
      <c r="M18" s="503">
        <v>0</v>
      </c>
      <c r="N18" s="504"/>
      <c r="O18" s="508">
        <v>0</v>
      </c>
      <c r="P18" s="508">
        <v>0</v>
      </c>
      <c r="Q18" s="508"/>
      <c r="R18" s="509">
        <v>1574731</v>
      </c>
      <c r="S18" s="483">
        <f t="shared" si="6"/>
        <v>1574731</v>
      </c>
      <c r="T18" s="485">
        <f t="shared" si="5"/>
        <v>1</v>
      </c>
    </row>
    <row r="19" spans="1:20" ht="28.5" customHeight="1">
      <c r="A19" s="456">
        <v>7</v>
      </c>
      <c r="B19" s="482" t="s">
        <v>419</v>
      </c>
      <c r="C19" s="483">
        <f t="shared" si="2"/>
        <v>37770</v>
      </c>
      <c r="D19" s="507">
        <v>0</v>
      </c>
      <c r="E19" s="503">
        <v>37770</v>
      </c>
      <c r="F19" s="504">
        <v>0</v>
      </c>
      <c r="G19" s="484">
        <v>0</v>
      </c>
      <c r="H19" s="483">
        <f t="shared" si="3"/>
        <v>37770</v>
      </c>
      <c r="I19" s="483">
        <f t="shared" si="4"/>
        <v>37770</v>
      </c>
      <c r="J19" s="503">
        <v>37770</v>
      </c>
      <c r="K19" s="503"/>
      <c r="L19" s="503"/>
      <c r="M19" s="503">
        <v>0</v>
      </c>
      <c r="N19" s="504"/>
      <c r="O19" s="508">
        <v>0</v>
      </c>
      <c r="P19" s="508">
        <v>0</v>
      </c>
      <c r="Q19" s="508"/>
      <c r="R19" s="509">
        <v>0</v>
      </c>
      <c r="S19" s="483">
        <f t="shared" si="6"/>
        <v>0</v>
      </c>
      <c r="T19" s="485">
        <f t="shared" si="5"/>
        <v>1</v>
      </c>
    </row>
    <row r="20" spans="1:20" ht="28.5" customHeight="1">
      <c r="A20" s="456">
        <v>8</v>
      </c>
      <c r="B20" s="482" t="s">
        <v>462</v>
      </c>
      <c r="C20" s="483">
        <f t="shared" si="2"/>
        <v>199902</v>
      </c>
      <c r="D20" s="507">
        <v>40000</v>
      </c>
      <c r="E20" s="503">
        <v>159902</v>
      </c>
      <c r="F20" s="504"/>
      <c r="G20" s="484"/>
      <c r="H20" s="483">
        <f t="shared" si="3"/>
        <v>199902</v>
      </c>
      <c r="I20" s="483">
        <f t="shared" si="4"/>
        <v>11700</v>
      </c>
      <c r="J20" s="503">
        <v>11700</v>
      </c>
      <c r="K20" s="503"/>
      <c r="L20" s="503"/>
      <c r="M20" s="503">
        <v>0</v>
      </c>
      <c r="N20" s="504"/>
      <c r="O20" s="508"/>
      <c r="P20" s="508"/>
      <c r="Q20" s="508"/>
      <c r="R20" s="509">
        <v>188202</v>
      </c>
      <c r="S20" s="483">
        <f t="shared" si="6"/>
        <v>188202</v>
      </c>
      <c r="T20" s="485">
        <f t="shared" si="5"/>
        <v>1</v>
      </c>
    </row>
    <row r="21" spans="1:20" s="385" customFormat="1" ht="24.75" customHeight="1">
      <c r="A21" s="456">
        <v>9</v>
      </c>
      <c r="B21" s="482" t="s">
        <v>420</v>
      </c>
      <c r="C21" s="483">
        <f t="shared" si="2"/>
        <v>38041</v>
      </c>
      <c r="D21" s="507">
        <v>1250</v>
      </c>
      <c r="E21" s="503">
        <v>36791</v>
      </c>
      <c r="F21" s="504">
        <v>0</v>
      </c>
      <c r="G21" s="484">
        <v>0</v>
      </c>
      <c r="H21" s="483">
        <f t="shared" si="3"/>
        <v>38041</v>
      </c>
      <c r="I21" s="483">
        <f t="shared" si="4"/>
        <v>20112</v>
      </c>
      <c r="J21" s="503">
        <v>15912</v>
      </c>
      <c r="K21" s="503"/>
      <c r="L21" s="503"/>
      <c r="M21" s="503">
        <v>4200</v>
      </c>
      <c r="N21" s="504"/>
      <c r="O21" s="508">
        <v>0</v>
      </c>
      <c r="P21" s="508">
        <v>0</v>
      </c>
      <c r="Q21" s="508"/>
      <c r="R21" s="509">
        <v>17929</v>
      </c>
      <c r="S21" s="483">
        <f t="shared" si="6"/>
        <v>22129</v>
      </c>
      <c r="T21" s="485">
        <f t="shared" si="5"/>
        <v>0.7911694510739857</v>
      </c>
    </row>
    <row r="22" spans="1:20" s="385" customFormat="1" ht="24.75" customHeight="1">
      <c r="A22" s="456">
        <v>10</v>
      </c>
      <c r="B22" s="488" t="s">
        <v>421</v>
      </c>
      <c r="C22" s="483">
        <f t="shared" si="2"/>
        <v>91300</v>
      </c>
      <c r="D22" s="507">
        <v>0</v>
      </c>
      <c r="E22" s="503">
        <v>91300</v>
      </c>
      <c r="F22" s="504">
        <v>0</v>
      </c>
      <c r="G22" s="484">
        <v>0</v>
      </c>
      <c r="H22" s="483">
        <f t="shared" si="3"/>
        <v>91300</v>
      </c>
      <c r="I22" s="483">
        <f>J22+K22+L22+M22+N22+O22+P22+Q22</f>
        <v>41420</v>
      </c>
      <c r="J22" s="503">
        <v>41420</v>
      </c>
      <c r="K22" s="503"/>
      <c r="L22" s="503"/>
      <c r="M22" s="503">
        <v>0</v>
      </c>
      <c r="N22" s="504"/>
      <c r="O22" s="508">
        <v>0</v>
      </c>
      <c r="P22" s="508">
        <v>0</v>
      </c>
      <c r="Q22" s="508"/>
      <c r="R22" s="509">
        <v>49880</v>
      </c>
      <c r="S22" s="483">
        <f t="shared" si="6"/>
        <v>49880</v>
      </c>
      <c r="T22" s="485">
        <f t="shared" si="5"/>
        <v>1</v>
      </c>
    </row>
    <row r="23" spans="1:20" s="385" customFormat="1" ht="24.75" customHeight="1">
      <c r="A23" s="532" t="s">
        <v>1</v>
      </c>
      <c r="B23" s="956" t="s">
        <v>471</v>
      </c>
      <c r="C23" s="957"/>
      <c r="D23" s="957"/>
      <c r="E23" s="957"/>
      <c r="F23" s="957"/>
      <c r="G23" s="957"/>
      <c r="H23" s="957"/>
      <c r="I23" s="957"/>
      <c r="J23" s="957"/>
      <c r="K23" s="957"/>
      <c r="L23" s="957"/>
      <c r="M23" s="957"/>
      <c r="N23" s="957"/>
      <c r="O23" s="957"/>
      <c r="P23" s="957"/>
      <c r="Q23" s="957"/>
      <c r="R23" s="957"/>
      <c r="S23" s="958"/>
      <c r="T23" s="485"/>
    </row>
    <row r="24" spans="1:27" s="385" customFormat="1" ht="24.75" customHeight="1">
      <c r="A24" s="468" t="s">
        <v>0</v>
      </c>
      <c r="B24" s="469" t="s">
        <v>457</v>
      </c>
      <c r="C24" s="470">
        <f>D24+E24</f>
        <v>51579890</v>
      </c>
      <c r="D24" s="470">
        <f>SUM(D25:D31)</f>
        <v>33507345</v>
      </c>
      <c r="E24" s="470">
        <f>SUM(E25:E31)</f>
        <v>18072545</v>
      </c>
      <c r="F24" s="470">
        <f>SUM(F25:F31)</f>
        <v>1767441</v>
      </c>
      <c r="G24" s="470">
        <f>SUM(G25:G31)</f>
        <v>0</v>
      </c>
      <c r="H24" s="470">
        <f>I24+R24</f>
        <v>49812449</v>
      </c>
      <c r="I24" s="470">
        <f>SUM(J24:Q24)</f>
        <v>29934793</v>
      </c>
      <c r="J24" s="470">
        <f aca="true" t="shared" si="7" ref="J24:S24">SUM(J25:J31)</f>
        <v>3899310</v>
      </c>
      <c r="K24" s="470">
        <f t="shared" si="7"/>
        <v>3730611</v>
      </c>
      <c r="L24" s="470">
        <f t="shared" si="7"/>
        <v>0</v>
      </c>
      <c r="M24" s="470">
        <f t="shared" si="7"/>
        <v>7235675</v>
      </c>
      <c r="N24" s="470">
        <f t="shared" si="7"/>
        <v>15037545</v>
      </c>
      <c r="O24" s="470">
        <f t="shared" si="7"/>
        <v>0</v>
      </c>
      <c r="P24" s="470">
        <f t="shared" si="7"/>
        <v>0</v>
      </c>
      <c r="Q24" s="470">
        <f t="shared" si="7"/>
        <v>31652</v>
      </c>
      <c r="R24" s="470">
        <f t="shared" si="7"/>
        <v>19877656</v>
      </c>
      <c r="S24" s="470">
        <f t="shared" si="7"/>
        <v>42182528</v>
      </c>
      <c r="T24" s="471">
        <f>(K24+J24+L24)/I24</f>
        <v>0.25488470890712356</v>
      </c>
      <c r="U24" s="581">
        <f>I24/H24</f>
        <v>0.6009500356025459</v>
      </c>
      <c r="V24" s="582">
        <f>(S24-R24-20167929)/20167929</f>
        <v>0.10595748328943443</v>
      </c>
      <c r="W24" s="563">
        <f>(C24-41929386)/41929386</f>
        <v>0.23016087094621418</v>
      </c>
      <c r="X24" s="563">
        <f>(E24-14453354)/14453354</f>
        <v>0.25040492331399344</v>
      </c>
      <c r="Y24" s="563">
        <f>(H24-41023396)/41023396</f>
        <v>0.2142448908910418</v>
      </c>
      <c r="Z24" s="563">
        <f>(I24-27927167)/27927167</f>
        <v>0.07188792189340222</v>
      </c>
      <c r="AA24" s="563">
        <f>(J24+K24+L24-6874782)/6874782</f>
        <v>0.10984188298625323</v>
      </c>
    </row>
    <row r="25" spans="1:20" s="385" customFormat="1" ht="24.75" customHeight="1">
      <c r="A25" s="456" t="s">
        <v>43</v>
      </c>
      <c r="B25" s="517" t="s">
        <v>424</v>
      </c>
      <c r="C25" s="490">
        <f>D25+E25</f>
        <v>721472</v>
      </c>
      <c r="D25" s="516">
        <v>377595</v>
      </c>
      <c r="E25" s="516">
        <v>343877</v>
      </c>
      <c r="F25" s="516">
        <v>73135</v>
      </c>
      <c r="G25" s="490">
        <v>0</v>
      </c>
      <c r="H25" s="490">
        <f t="shared" si="3"/>
        <v>648337</v>
      </c>
      <c r="I25" s="490">
        <f aca="true" t="shared" si="8" ref="I25:I31">SUM(J25:Q25)</f>
        <v>648337</v>
      </c>
      <c r="J25" s="516">
        <v>604690</v>
      </c>
      <c r="K25" s="516">
        <v>43647</v>
      </c>
      <c r="L25" s="516">
        <v>0</v>
      </c>
      <c r="M25" s="516">
        <v>0</v>
      </c>
      <c r="N25" s="516">
        <v>0</v>
      </c>
      <c r="O25" s="516"/>
      <c r="P25" s="516"/>
      <c r="Q25" s="516"/>
      <c r="R25" s="516">
        <v>0</v>
      </c>
      <c r="S25" s="490">
        <f>C25-F25-G25-J25-K25-L25</f>
        <v>0</v>
      </c>
      <c r="T25" s="492">
        <f t="shared" si="5"/>
        <v>1</v>
      </c>
    </row>
    <row r="26" spans="1:20" s="385" customFormat="1" ht="24.75" customHeight="1">
      <c r="A26" s="456" t="s">
        <v>44</v>
      </c>
      <c r="B26" s="518" t="s">
        <v>425</v>
      </c>
      <c r="C26" s="490">
        <f aca="true" t="shared" si="9" ref="C26:C31">D26+E26</f>
        <v>4856945</v>
      </c>
      <c r="D26" s="516">
        <v>3246568</v>
      </c>
      <c r="E26" s="516">
        <v>1610377</v>
      </c>
      <c r="F26" s="516">
        <v>383750</v>
      </c>
      <c r="G26" s="490">
        <v>0</v>
      </c>
      <c r="H26" s="490">
        <f t="shared" si="3"/>
        <v>4473195</v>
      </c>
      <c r="I26" s="490">
        <f t="shared" si="8"/>
        <v>1791368</v>
      </c>
      <c r="J26" s="516">
        <v>727790</v>
      </c>
      <c r="K26" s="516">
        <v>38594</v>
      </c>
      <c r="L26" s="516">
        <v>0</v>
      </c>
      <c r="M26" s="516">
        <v>813534</v>
      </c>
      <c r="N26" s="516">
        <v>211150</v>
      </c>
      <c r="O26" s="516">
        <v>0</v>
      </c>
      <c r="P26" s="516"/>
      <c r="Q26" s="516">
        <v>300</v>
      </c>
      <c r="R26" s="516">
        <v>2681827</v>
      </c>
      <c r="S26" s="490">
        <f aca="true" t="shared" si="10" ref="S26:S31">C26-F26-G26-J26-K26-L26</f>
        <v>3706811</v>
      </c>
      <c r="T26" s="492">
        <f t="shared" si="5"/>
        <v>0.4278205259890765</v>
      </c>
    </row>
    <row r="27" spans="1:20" s="385" customFormat="1" ht="24.75" customHeight="1">
      <c r="A27" s="456" t="s">
        <v>45</v>
      </c>
      <c r="B27" s="517" t="s">
        <v>426</v>
      </c>
      <c r="C27" s="490">
        <f t="shared" si="9"/>
        <v>8228207</v>
      </c>
      <c r="D27" s="516">
        <v>3100237</v>
      </c>
      <c r="E27" s="516">
        <v>5127970</v>
      </c>
      <c r="F27" s="516">
        <v>987935</v>
      </c>
      <c r="G27" s="490">
        <v>0</v>
      </c>
      <c r="H27" s="490">
        <f t="shared" si="3"/>
        <v>7240272</v>
      </c>
      <c r="I27" s="490">
        <f t="shared" si="8"/>
        <v>2688309</v>
      </c>
      <c r="J27" s="516">
        <v>655826</v>
      </c>
      <c r="K27" s="516">
        <v>1278654</v>
      </c>
      <c r="L27" s="516">
        <v>0</v>
      </c>
      <c r="M27" s="516">
        <v>248277</v>
      </c>
      <c r="N27" s="516">
        <v>505552</v>
      </c>
      <c r="O27" s="516"/>
      <c r="P27" s="516"/>
      <c r="Q27" s="516"/>
      <c r="R27" s="516">
        <v>4551963</v>
      </c>
      <c r="S27" s="490">
        <f t="shared" si="10"/>
        <v>5305792</v>
      </c>
      <c r="T27" s="492">
        <f t="shared" si="5"/>
        <v>0.7195898983338597</v>
      </c>
    </row>
    <row r="28" spans="1:20" s="385" customFormat="1" ht="24.75" customHeight="1">
      <c r="A28" s="456" t="s">
        <v>54</v>
      </c>
      <c r="B28" s="518" t="s">
        <v>464</v>
      </c>
      <c r="C28" s="490">
        <f t="shared" si="9"/>
        <v>13751582</v>
      </c>
      <c r="D28" s="516">
        <v>9612928</v>
      </c>
      <c r="E28" s="516">
        <v>4138654</v>
      </c>
      <c r="F28" s="516">
        <v>25401</v>
      </c>
      <c r="G28" s="490">
        <v>0</v>
      </c>
      <c r="H28" s="490">
        <f t="shared" si="3"/>
        <v>13726181</v>
      </c>
      <c r="I28" s="490">
        <f t="shared" si="8"/>
        <v>5509154</v>
      </c>
      <c r="J28" s="516">
        <v>274045</v>
      </c>
      <c r="K28" s="516">
        <v>1646374</v>
      </c>
      <c r="L28" s="516">
        <v>0</v>
      </c>
      <c r="M28" s="516">
        <v>1968365</v>
      </c>
      <c r="N28" s="516">
        <v>1589018</v>
      </c>
      <c r="O28" s="516"/>
      <c r="P28" s="516"/>
      <c r="Q28" s="516">
        <v>31352</v>
      </c>
      <c r="R28" s="516">
        <v>8217027</v>
      </c>
      <c r="S28" s="490">
        <f t="shared" si="10"/>
        <v>11805762</v>
      </c>
      <c r="T28" s="492">
        <f t="shared" si="5"/>
        <v>0.34858691552278265</v>
      </c>
    </row>
    <row r="29" spans="1:20" s="385" customFormat="1" ht="24.75" customHeight="1">
      <c r="A29" s="456" t="s">
        <v>55</v>
      </c>
      <c r="B29" s="518" t="s">
        <v>465</v>
      </c>
      <c r="C29" s="490">
        <f t="shared" si="9"/>
        <v>16661436</v>
      </c>
      <c r="D29" s="516">
        <v>14031582</v>
      </c>
      <c r="E29" s="516">
        <v>2629854</v>
      </c>
      <c r="F29" s="516">
        <v>9100</v>
      </c>
      <c r="G29" s="490">
        <v>0</v>
      </c>
      <c r="H29" s="490">
        <f t="shared" si="3"/>
        <v>16652336</v>
      </c>
      <c r="I29" s="490">
        <f t="shared" si="8"/>
        <v>15128589</v>
      </c>
      <c r="J29" s="516">
        <v>461123</v>
      </c>
      <c r="K29" s="516">
        <v>455867</v>
      </c>
      <c r="L29" s="516">
        <v>0</v>
      </c>
      <c r="M29" s="516">
        <v>1479774</v>
      </c>
      <c r="N29" s="516">
        <v>12731825</v>
      </c>
      <c r="O29" s="516"/>
      <c r="P29" s="516"/>
      <c r="Q29" s="516">
        <v>0</v>
      </c>
      <c r="R29" s="516">
        <v>1523747</v>
      </c>
      <c r="S29" s="490">
        <f t="shared" si="10"/>
        <v>15735346</v>
      </c>
      <c r="T29" s="492">
        <f t="shared" si="5"/>
        <v>0.060613055189747043</v>
      </c>
    </row>
    <row r="30" spans="1:20" s="385" customFormat="1" ht="24.75" customHeight="1">
      <c r="A30" s="456" t="s">
        <v>56</v>
      </c>
      <c r="B30" s="517" t="s">
        <v>467</v>
      </c>
      <c r="C30" s="490">
        <f t="shared" si="9"/>
        <v>3219557</v>
      </c>
      <c r="D30" s="516">
        <v>1340147</v>
      </c>
      <c r="E30" s="516">
        <v>1879410</v>
      </c>
      <c r="F30" s="516">
        <v>168050</v>
      </c>
      <c r="G30" s="490">
        <v>0</v>
      </c>
      <c r="H30" s="490">
        <f t="shared" si="3"/>
        <v>3051507</v>
      </c>
      <c r="I30" s="490">
        <f t="shared" si="8"/>
        <v>2125079</v>
      </c>
      <c r="J30" s="516">
        <v>886130</v>
      </c>
      <c r="K30" s="516">
        <v>249233</v>
      </c>
      <c r="L30" s="516">
        <v>0</v>
      </c>
      <c r="M30" s="516">
        <v>989716</v>
      </c>
      <c r="N30" s="516">
        <v>0</v>
      </c>
      <c r="O30" s="516">
        <v>0</v>
      </c>
      <c r="P30" s="516"/>
      <c r="Q30" s="516"/>
      <c r="R30" s="516">
        <v>926428</v>
      </c>
      <c r="S30" s="490">
        <f t="shared" si="10"/>
        <v>1916144</v>
      </c>
      <c r="T30" s="492">
        <f t="shared" si="5"/>
        <v>0.5342686083670302</v>
      </c>
    </row>
    <row r="31" spans="1:20" s="385" customFormat="1" ht="24.75" customHeight="1">
      <c r="A31" s="456" t="s">
        <v>57</v>
      </c>
      <c r="B31" s="517" t="s">
        <v>429</v>
      </c>
      <c r="C31" s="490">
        <f t="shared" si="9"/>
        <v>4140691</v>
      </c>
      <c r="D31" s="516">
        <v>1798288</v>
      </c>
      <c r="E31" s="516">
        <v>2342403</v>
      </c>
      <c r="F31" s="516">
        <v>120070</v>
      </c>
      <c r="G31" s="490">
        <v>0</v>
      </c>
      <c r="H31" s="490">
        <f t="shared" si="3"/>
        <v>4020621</v>
      </c>
      <c r="I31" s="490">
        <f t="shared" si="8"/>
        <v>2043957</v>
      </c>
      <c r="J31" s="516">
        <v>289706</v>
      </c>
      <c r="K31" s="516">
        <v>18242</v>
      </c>
      <c r="L31" s="516">
        <v>0</v>
      </c>
      <c r="M31" s="519">
        <v>1736009</v>
      </c>
      <c r="N31" s="516">
        <v>0</v>
      </c>
      <c r="O31" s="516">
        <v>0</v>
      </c>
      <c r="P31" s="516"/>
      <c r="Q31" s="516"/>
      <c r="R31" s="516">
        <v>1976664</v>
      </c>
      <c r="S31" s="490">
        <f t="shared" si="10"/>
        <v>3712673</v>
      </c>
      <c r="T31" s="492">
        <f t="shared" si="5"/>
        <v>0.15066266071155118</v>
      </c>
    </row>
    <row r="32" spans="1:27" s="385" customFormat="1" ht="24.75" customHeight="1">
      <c r="A32" s="455">
        <v>2</v>
      </c>
      <c r="B32" s="469" t="s">
        <v>430</v>
      </c>
      <c r="C32" s="470">
        <f>D32+E32</f>
        <v>9274854</v>
      </c>
      <c r="D32" s="470">
        <f>SUM(D33:D38)</f>
        <v>5960982</v>
      </c>
      <c r="E32" s="470">
        <f>SUM(E33:E38)</f>
        <v>3313872</v>
      </c>
      <c r="F32" s="470">
        <f>SUM(F33:F38)</f>
        <v>177589</v>
      </c>
      <c r="G32" s="470">
        <f>SUM(G33:G38)</f>
        <v>0</v>
      </c>
      <c r="H32" s="470">
        <f>I32+R32</f>
        <v>9097265</v>
      </c>
      <c r="I32" s="470">
        <f>SUM(J32:Q32)</f>
        <v>6144209</v>
      </c>
      <c r="J32" s="470">
        <f aca="true" t="shared" si="11" ref="J32:S32">SUM(J33:J38)</f>
        <v>2017695</v>
      </c>
      <c r="K32" s="470">
        <f t="shared" si="11"/>
        <v>1057268</v>
      </c>
      <c r="L32" s="470">
        <f t="shared" si="11"/>
        <v>5388</v>
      </c>
      <c r="M32" s="470">
        <f t="shared" si="11"/>
        <v>2942858</v>
      </c>
      <c r="N32" s="470">
        <f t="shared" si="11"/>
        <v>0</v>
      </c>
      <c r="O32" s="470">
        <f t="shared" si="11"/>
        <v>0</v>
      </c>
      <c r="P32" s="470">
        <f t="shared" si="11"/>
        <v>0</v>
      </c>
      <c r="Q32" s="470">
        <f t="shared" si="11"/>
        <v>121000</v>
      </c>
      <c r="R32" s="470">
        <f t="shared" si="11"/>
        <v>2953056</v>
      </c>
      <c r="S32" s="470">
        <f t="shared" si="11"/>
        <v>6016914</v>
      </c>
      <c r="T32" s="481">
        <f t="shared" si="5"/>
        <v>0.5013421581199468</v>
      </c>
      <c r="U32" s="583">
        <f>I32/H32</f>
        <v>0.6753907905288018</v>
      </c>
      <c r="V32" s="583">
        <f>(S32-R32-3558526)/3558526</f>
        <v>-0.13900924146683205</v>
      </c>
      <c r="W32" s="563">
        <f>(C32-9035719)/9035719</f>
        <v>0.026465519788740663</v>
      </c>
      <c r="X32" s="563">
        <f>(E32-3216364)/3216364</f>
        <v>0.0303162204277874</v>
      </c>
      <c r="Y32" s="563">
        <f>(H32-8656960)/8656960</f>
        <v>0.050861387831294125</v>
      </c>
      <c r="Z32" s="563">
        <f>(I32-7246890)/7246890</f>
        <v>-0.1521592020853083</v>
      </c>
      <c r="AA32" s="563">
        <f>(J32+K32+L32-2336684)/2336684</f>
        <v>0.3182574109293341</v>
      </c>
    </row>
    <row r="33" spans="1:20" s="385" customFormat="1" ht="24.75" customHeight="1">
      <c r="A33" s="456" t="s">
        <v>43</v>
      </c>
      <c r="B33" s="520" t="s">
        <v>431</v>
      </c>
      <c r="C33" s="490">
        <f aca="true" t="shared" si="12" ref="C33:C38">D33+E33</f>
        <v>977987</v>
      </c>
      <c r="D33" s="463">
        <v>426355</v>
      </c>
      <c r="E33" s="463">
        <v>551632</v>
      </c>
      <c r="F33" s="463">
        <v>63200</v>
      </c>
      <c r="G33" s="483">
        <v>0</v>
      </c>
      <c r="H33" s="511">
        <f aca="true" t="shared" si="13" ref="H33:H38">I33+R33</f>
        <v>914787</v>
      </c>
      <c r="I33" s="511">
        <f aca="true" t="shared" si="14" ref="I33:I38">SUM(J33:Q33)</f>
        <v>814557</v>
      </c>
      <c r="J33" s="463">
        <v>706836</v>
      </c>
      <c r="K33" s="463">
        <v>23033</v>
      </c>
      <c r="L33" s="463">
        <v>5388</v>
      </c>
      <c r="M33" s="463">
        <v>79000</v>
      </c>
      <c r="N33" s="463">
        <v>0</v>
      </c>
      <c r="O33" s="463">
        <v>0</v>
      </c>
      <c r="P33" s="463">
        <v>0</v>
      </c>
      <c r="Q33" s="463">
        <v>300</v>
      </c>
      <c r="R33" s="463">
        <v>100230</v>
      </c>
      <c r="S33" s="512">
        <f aca="true" t="shared" si="15" ref="S33:S38">C33-F33-G33-J33-K33-L33</f>
        <v>179530</v>
      </c>
      <c r="T33" s="492">
        <f t="shared" si="5"/>
        <v>0.9026464691850908</v>
      </c>
    </row>
    <row r="34" spans="1:20" s="385" customFormat="1" ht="24.75" customHeight="1">
      <c r="A34" s="456" t="s">
        <v>44</v>
      </c>
      <c r="B34" s="520" t="s">
        <v>432</v>
      </c>
      <c r="C34" s="490">
        <f t="shared" si="12"/>
        <v>2939749</v>
      </c>
      <c r="D34" s="463">
        <v>2472318</v>
      </c>
      <c r="E34" s="463">
        <v>467431</v>
      </c>
      <c r="F34" s="463">
        <v>0</v>
      </c>
      <c r="G34" s="483">
        <v>0</v>
      </c>
      <c r="H34" s="511">
        <f t="shared" si="13"/>
        <v>2939749</v>
      </c>
      <c r="I34" s="511">
        <f t="shared" si="14"/>
        <v>1027612</v>
      </c>
      <c r="J34" s="463">
        <v>260932</v>
      </c>
      <c r="K34" s="463">
        <v>0</v>
      </c>
      <c r="L34" s="463">
        <v>0</v>
      </c>
      <c r="M34" s="463">
        <v>766680</v>
      </c>
      <c r="N34" s="463">
        <v>0</v>
      </c>
      <c r="O34" s="463">
        <v>0</v>
      </c>
      <c r="P34" s="463">
        <v>0</v>
      </c>
      <c r="Q34" s="463">
        <v>0</v>
      </c>
      <c r="R34" s="463">
        <v>1912137</v>
      </c>
      <c r="S34" s="512">
        <f t="shared" si="15"/>
        <v>2678817</v>
      </c>
      <c r="T34" s="492">
        <f t="shared" si="5"/>
        <v>0.25392074051295627</v>
      </c>
    </row>
    <row r="35" spans="1:20" s="385" customFormat="1" ht="24.75" customHeight="1">
      <c r="A35" s="456" t="s">
        <v>45</v>
      </c>
      <c r="B35" s="520" t="s">
        <v>428</v>
      </c>
      <c r="C35" s="490">
        <f t="shared" si="12"/>
        <v>983541</v>
      </c>
      <c r="D35" s="463">
        <v>198514</v>
      </c>
      <c r="E35" s="463">
        <v>785027</v>
      </c>
      <c r="F35" s="463">
        <v>92890</v>
      </c>
      <c r="G35" s="483">
        <v>0</v>
      </c>
      <c r="H35" s="511">
        <f t="shared" si="13"/>
        <v>890651</v>
      </c>
      <c r="I35" s="511">
        <f t="shared" si="14"/>
        <v>596138</v>
      </c>
      <c r="J35" s="463">
        <v>257531</v>
      </c>
      <c r="K35" s="463">
        <v>18886</v>
      </c>
      <c r="L35" s="463">
        <v>0</v>
      </c>
      <c r="M35" s="463">
        <v>319721</v>
      </c>
      <c r="N35" s="463">
        <v>0</v>
      </c>
      <c r="O35" s="463">
        <v>0</v>
      </c>
      <c r="P35" s="463">
        <v>0</v>
      </c>
      <c r="Q35" s="463">
        <v>0</v>
      </c>
      <c r="R35" s="463">
        <v>294513</v>
      </c>
      <c r="S35" s="512">
        <f t="shared" si="15"/>
        <v>614234</v>
      </c>
      <c r="T35" s="492">
        <f t="shared" si="5"/>
        <v>0.46367955070805755</v>
      </c>
    </row>
    <row r="36" spans="1:20" s="385" customFormat="1" ht="24.75" customHeight="1">
      <c r="A36" s="456" t="s">
        <v>54</v>
      </c>
      <c r="B36" s="520" t="s">
        <v>433</v>
      </c>
      <c r="C36" s="490">
        <f t="shared" si="12"/>
        <v>1408098</v>
      </c>
      <c r="D36" s="463">
        <v>539907</v>
      </c>
      <c r="E36" s="463">
        <v>868191</v>
      </c>
      <c r="F36" s="463">
        <v>20300</v>
      </c>
      <c r="G36" s="483">
        <v>0</v>
      </c>
      <c r="H36" s="511">
        <f t="shared" si="13"/>
        <v>1387798</v>
      </c>
      <c r="I36" s="511">
        <f t="shared" si="14"/>
        <v>1268666</v>
      </c>
      <c r="J36" s="463">
        <v>420358</v>
      </c>
      <c r="K36" s="463">
        <v>28391</v>
      </c>
      <c r="L36" s="463">
        <v>0</v>
      </c>
      <c r="M36" s="463">
        <v>819217</v>
      </c>
      <c r="N36" s="463">
        <v>0</v>
      </c>
      <c r="O36" s="463">
        <v>0</v>
      </c>
      <c r="P36" s="463">
        <v>0</v>
      </c>
      <c r="Q36" s="463">
        <v>700</v>
      </c>
      <c r="R36" s="463">
        <v>119132</v>
      </c>
      <c r="S36" s="512">
        <f t="shared" si="15"/>
        <v>939049</v>
      </c>
      <c r="T36" s="492">
        <f t="shared" si="5"/>
        <v>0.3537172116222867</v>
      </c>
    </row>
    <row r="37" spans="1:20" s="385" customFormat="1" ht="24.75" customHeight="1">
      <c r="A37" s="456" t="s">
        <v>55</v>
      </c>
      <c r="B37" s="520" t="s">
        <v>458</v>
      </c>
      <c r="C37" s="490">
        <f t="shared" si="12"/>
        <v>857976</v>
      </c>
      <c r="D37" s="463">
        <v>441137</v>
      </c>
      <c r="E37" s="463">
        <v>416839</v>
      </c>
      <c r="F37" s="463">
        <v>799</v>
      </c>
      <c r="G37" s="483">
        <v>0</v>
      </c>
      <c r="H37" s="511">
        <f t="shared" si="13"/>
        <v>857177</v>
      </c>
      <c r="I37" s="511">
        <f t="shared" si="14"/>
        <v>558375</v>
      </c>
      <c r="J37" s="463">
        <v>89406</v>
      </c>
      <c r="K37" s="463">
        <v>135269</v>
      </c>
      <c r="L37" s="463">
        <v>0</v>
      </c>
      <c r="M37" s="463">
        <v>333700</v>
      </c>
      <c r="N37" s="463">
        <v>0</v>
      </c>
      <c r="O37" s="463">
        <v>0</v>
      </c>
      <c r="P37" s="463">
        <v>0</v>
      </c>
      <c r="Q37" s="463">
        <v>0</v>
      </c>
      <c r="R37" s="463">
        <v>298802</v>
      </c>
      <c r="S37" s="512">
        <f t="shared" si="15"/>
        <v>632502</v>
      </c>
      <c r="T37" s="492">
        <f t="shared" si="5"/>
        <v>0.40237295724199684</v>
      </c>
    </row>
    <row r="38" spans="1:20" s="385" customFormat="1" ht="24.75" customHeight="1">
      <c r="A38" s="456" t="s">
        <v>56</v>
      </c>
      <c r="B38" s="521" t="s">
        <v>434</v>
      </c>
      <c r="C38" s="490">
        <f t="shared" si="12"/>
        <v>2107503</v>
      </c>
      <c r="D38" s="463">
        <v>1882751</v>
      </c>
      <c r="E38" s="463">
        <v>224752</v>
      </c>
      <c r="F38" s="463">
        <v>400</v>
      </c>
      <c r="G38" s="483">
        <v>0</v>
      </c>
      <c r="H38" s="511">
        <f t="shared" si="13"/>
        <v>2107103</v>
      </c>
      <c r="I38" s="511">
        <f t="shared" si="14"/>
        <v>1878861</v>
      </c>
      <c r="J38" s="463">
        <v>282632</v>
      </c>
      <c r="K38" s="463">
        <v>851689</v>
      </c>
      <c r="L38" s="463">
        <v>0</v>
      </c>
      <c r="M38" s="463">
        <v>624540</v>
      </c>
      <c r="N38" s="463">
        <v>0</v>
      </c>
      <c r="O38" s="463">
        <v>0</v>
      </c>
      <c r="P38" s="463">
        <v>0</v>
      </c>
      <c r="Q38" s="463">
        <v>120000</v>
      </c>
      <c r="R38" s="463">
        <v>228242</v>
      </c>
      <c r="S38" s="512">
        <f t="shared" si="15"/>
        <v>972782</v>
      </c>
      <c r="T38" s="492">
        <f t="shared" si="5"/>
        <v>0.6037280032956137</v>
      </c>
    </row>
    <row r="39" spans="1:27" s="385" customFormat="1" ht="24.75" customHeight="1">
      <c r="A39" s="455">
        <v>3</v>
      </c>
      <c r="B39" s="469" t="s">
        <v>455</v>
      </c>
      <c r="C39" s="470">
        <f>D39+E39</f>
        <v>21112985</v>
      </c>
      <c r="D39" s="470">
        <f>SUM(D40:D46)</f>
        <v>17959069</v>
      </c>
      <c r="E39" s="470">
        <f>SUM(E40:E46)</f>
        <v>3153916</v>
      </c>
      <c r="F39" s="470">
        <f>SUM(F40:F46)</f>
        <v>422847</v>
      </c>
      <c r="G39" s="470">
        <f>SUM(G40:G46)</f>
        <v>0</v>
      </c>
      <c r="H39" s="470">
        <f>I39+R39</f>
        <v>20690138</v>
      </c>
      <c r="I39" s="470">
        <f>SUM(J39:Q39)</f>
        <v>13169662</v>
      </c>
      <c r="J39" s="470">
        <f aca="true" t="shared" si="16" ref="J39:S39">SUM(J40:J46)</f>
        <v>1309806</v>
      </c>
      <c r="K39" s="470">
        <f t="shared" si="16"/>
        <v>225400</v>
      </c>
      <c r="L39" s="470">
        <f t="shared" si="16"/>
        <v>30273</v>
      </c>
      <c r="M39" s="470">
        <f t="shared" si="16"/>
        <v>10182331</v>
      </c>
      <c r="N39" s="470">
        <f t="shared" si="16"/>
        <v>1410932</v>
      </c>
      <c r="O39" s="470">
        <f t="shared" si="16"/>
        <v>0</v>
      </c>
      <c r="P39" s="470">
        <f t="shared" si="16"/>
        <v>0</v>
      </c>
      <c r="Q39" s="470">
        <f t="shared" si="16"/>
        <v>10920</v>
      </c>
      <c r="R39" s="470">
        <f t="shared" si="16"/>
        <v>7520476</v>
      </c>
      <c r="S39" s="470">
        <f t="shared" si="16"/>
        <v>19124659</v>
      </c>
      <c r="T39" s="471">
        <f t="shared" si="5"/>
        <v>0.1188700970457708</v>
      </c>
      <c r="U39" s="584">
        <f>I39/H39</f>
        <v>0.6365188091060582</v>
      </c>
      <c r="V39" s="584">
        <f>(S39-R39-12987769)/12987769</f>
        <v>-0.10652992057373364</v>
      </c>
      <c r="W39" s="563">
        <f>(C39-20932175)/20932175</f>
        <v>0.008637898355044327</v>
      </c>
      <c r="X39" s="563">
        <f>(E39-11499976)/11499976</f>
        <v>-0.7257458624261477</v>
      </c>
      <c r="Y39" s="563">
        <f>(H39-18824901)/18824901</f>
        <v>0.09908349584414813</v>
      </c>
      <c r="Z39" s="563">
        <f>(I39-13894669)/13894669</f>
        <v>-0.05217878885779863</v>
      </c>
      <c r="AA39" s="563">
        <f>(J39+K39+L39-1673380)/1673380</f>
        <v>-0.06448087105140494</v>
      </c>
    </row>
    <row r="40" spans="1:20" s="385" customFormat="1" ht="24.75" customHeight="1">
      <c r="A40" s="456" t="s">
        <v>43</v>
      </c>
      <c r="B40" s="522" t="s">
        <v>459</v>
      </c>
      <c r="C40" s="490">
        <f aca="true" t="shared" si="17" ref="C40:C60">D40+E40</f>
        <v>321684</v>
      </c>
      <c r="D40" s="426">
        <v>129276</v>
      </c>
      <c r="E40" s="426">
        <v>192408</v>
      </c>
      <c r="F40" s="426">
        <v>0</v>
      </c>
      <c r="G40" s="491">
        <v>0</v>
      </c>
      <c r="H40" s="490">
        <f aca="true" t="shared" si="18" ref="H40:H60">I40+R40</f>
        <v>321684</v>
      </c>
      <c r="I40" s="490">
        <f aca="true" t="shared" si="19" ref="I40:I60">SUM(J40:Q40)</f>
        <v>108317</v>
      </c>
      <c r="J40" s="426">
        <v>26994</v>
      </c>
      <c r="K40" s="426">
        <v>5873</v>
      </c>
      <c r="L40" s="426">
        <v>0</v>
      </c>
      <c r="M40" s="426">
        <v>75450</v>
      </c>
      <c r="N40" s="426">
        <v>0</v>
      </c>
      <c r="O40" s="426">
        <v>0</v>
      </c>
      <c r="P40" s="426">
        <v>0</v>
      </c>
      <c r="Q40" s="426">
        <v>0</v>
      </c>
      <c r="R40" s="426">
        <v>213367</v>
      </c>
      <c r="S40" s="490">
        <f aca="true" t="shared" si="20" ref="S40:S46">C40-F40-G40-J40-K40-L40</f>
        <v>288817</v>
      </c>
      <c r="T40" s="492">
        <f t="shared" si="5"/>
        <v>0.30343344073414147</v>
      </c>
    </row>
    <row r="41" spans="1:20" s="385" customFormat="1" ht="24.75" customHeight="1">
      <c r="A41" s="456" t="s">
        <v>44</v>
      </c>
      <c r="B41" s="522" t="s">
        <v>436</v>
      </c>
      <c r="C41" s="490">
        <f t="shared" si="17"/>
        <v>1439723</v>
      </c>
      <c r="D41" s="426">
        <v>1112661</v>
      </c>
      <c r="E41" s="426">
        <v>327062</v>
      </c>
      <c r="F41" s="426">
        <v>0</v>
      </c>
      <c r="G41" s="491">
        <v>0</v>
      </c>
      <c r="H41" s="490">
        <f t="shared" si="18"/>
        <v>1439723</v>
      </c>
      <c r="I41" s="490">
        <f t="shared" si="19"/>
        <v>587145</v>
      </c>
      <c r="J41" s="426">
        <v>166620</v>
      </c>
      <c r="K41" s="426">
        <v>59652</v>
      </c>
      <c r="L41" s="426">
        <v>0</v>
      </c>
      <c r="M41" s="426">
        <v>360723</v>
      </c>
      <c r="N41" s="426">
        <v>0</v>
      </c>
      <c r="O41" s="426">
        <v>0</v>
      </c>
      <c r="P41" s="426">
        <v>0</v>
      </c>
      <c r="Q41" s="426">
        <v>150</v>
      </c>
      <c r="R41" s="426">
        <v>852578</v>
      </c>
      <c r="S41" s="490">
        <f t="shared" si="20"/>
        <v>1213451</v>
      </c>
      <c r="T41" s="492">
        <f t="shared" si="5"/>
        <v>0.3853766957054901</v>
      </c>
    </row>
    <row r="42" spans="1:20" s="385" customFormat="1" ht="24.75" customHeight="1">
      <c r="A42" s="456" t="s">
        <v>45</v>
      </c>
      <c r="B42" s="522" t="s">
        <v>437</v>
      </c>
      <c r="C42" s="490">
        <f t="shared" si="17"/>
        <v>2336479</v>
      </c>
      <c r="D42" s="426">
        <v>971847</v>
      </c>
      <c r="E42" s="426">
        <v>1364632</v>
      </c>
      <c r="F42" s="426">
        <v>274837</v>
      </c>
      <c r="G42" s="491">
        <v>0</v>
      </c>
      <c r="H42" s="490">
        <f t="shared" si="18"/>
        <v>2061642</v>
      </c>
      <c r="I42" s="490">
        <f t="shared" si="19"/>
        <v>500190</v>
      </c>
      <c r="J42" s="426">
        <v>188514</v>
      </c>
      <c r="K42" s="426">
        <v>22972</v>
      </c>
      <c r="L42" s="426">
        <v>26612</v>
      </c>
      <c r="M42" s="426">
        <v>261892</v>
      </c>
      <c r="N42" s="426">
        <v>0</v>
      </c>
      <c r="O42" s="426">
        <v>0</v>
      </c>
      <c r="P42" s="426">
        <v>0</v>
      </c>
      <c r="Q42" s="426">
        <v>200</v>
      </c>
      <c r="R42" s="426">
        <v>1561452</v>
      </c>
      <c r="S42" s="490">
        <f t="shared" si="20"/>
        <v>1823544</v>
      </c>
      <c r="T42" s="492">
        <f t="shared" si="5"/>
        <v>0.4760151142565825</v>
      </c>
    </row>
    <row r="43" spans="1:20" s="385" customFormat="1" ht="24.75" customHeight="1">
      <c r="A43" s="456" t="s">
        <v>54</v>
      </c>
      <c r="B43" s="522" t="s">
        <v>438</v>
      </c>
      <c r="C43" s="490">
        <f t="shared" si="17"/>
        <v>2507258</v>
      </c>
      <c r="D43" s="426">
        <v>2203071</v>
      </c>
      <c r="E43" s="426">
        <v>304187</v>
      </c>
      <c r="F43" s="426">
        <v>0</v>
      </c>
      <c r="G43" s="491">
        <v>0</v>
      </c>
      <c r="H43" s="490">
        <f t="shared" si="18"/>
        <v>2507258</v>
      </c>
      <c r="I43" s="490">
        <f t="shared" si="19"/>
        <v>1604969</v>
      </c>
      <c r="J43" s="426">
        <v>150247</v>
      </c>
      <c r="K43" s="426">
        <v>30699</v>
      </c>
      <c r="L43" s="426">
        <v>3661</v>
      </c>
      <c r="M43" s="426">
        <v>1420362</v>
      </c>
      <c r="N43" s="426">
        <v>0</v>
      </c>
      <c r="O43" s="426">
        <v>0</v>
      </c>
      <c r="P43" s="426">
        <v>0</v>
      </c>
      <c r="Q43" s="426">
        <v>0</v>
      </c>
      <c r="R43" s="426">
        <v>902289</v>
      </c>
      <c r="S43" s="490">
        <f t="shared" si="20"/>
        <v>2322651</v>
      </c>
      <c r="T43" s="492">
        <f t="shared" si="5"/>
        <v>0.11502215930650374</v>
      </c>
    </row>
    <row r="44" spans="1:20" s="385" customFormat="1" ht="24.75" customHeight="1">
      <c r="A44" s="456" t="s">
        <v>55</v>
      </c>
      <c r="B44" s="522" t="s">
        <v>439</v>
      </c>
      <c r="C44" s="490">
        <f t="shared" si="17"/>
        <v>10557781</v>
      </c>
      <c r="D44" s="426">
        <v>9906791</v>
      </c>
      <c r="E44" s="426">
        <v>650990</v>
      </c>
      <c r="F44" s="426">
        <v>101590</v>
      </c>
      <c r="G44" s="491">
        <v>0</v>
      </c>
      <c r="H44" s="490">
        <f t="shared" si="18"/>
        <v>10456191</v>
      </c>
      <c r="I44" s="490">
        <f t="shared" si="19"/>
        <v>8943956</v>
      </c>
      <c r="J44" s="426">
        <v>509851</v>
      </c>
      <c r="K44" s="426">
        <v>78491</v>
      </c>
      <c r="L44" s="426">
        <v>0</v>
      </c>
      <c r="M44" s="426">
        <v>7561044</v>
      </c>
      <c r="N44" s="426">
        <v>784000</v>
      </c>
      <c r="O44" s="426">
        <v>0</v>
      </c>
      <c r="P44" s="426">
        <v>0</v>
      </c>
      <c r="Q44" s="426">
        <v>10570</v>
      </c>
      <c r="R44" s="426">
        <v>1512235</v>
      </c>
      <c r="S44" s="490">
        <f t="shared" si="20"/>
        <v>9867849</v>
      </c>
      <c r="T44" s="492">
        <f t="shared" si="5"/>
        <v>0.06578095867197915</v>
      </c>
    </row>
    <row r="45" spans="1:20" s="385" customFormat="1" ht="24.75" customHeight="1">
      <c r="A45" s="456">
        <v>7</v>
      </c>
      <c r="B45" s="522" t="s">
        <v>447</v>
      </c>
      <c r="C45" s="490">
        <f t="shared" si="17"/>
        <v>3306138</v>
      </c>
      <c r="D45" s="426">
        <v>3017836</v>
      </c>
      <c r="E45" s="426">
        <v>288302</v>
      </c>
      <c r="F45" s="426">
        <v>43330</v>
      </c>
      <c r="G45" s="491"/>
      <c r="H45" s="490">
        <f t="shared" si="18"/>
        <v>3262808</v>
      </c>
      <c r="I45" s="490">
        <f t="shared" si="19"/>
        <v>1160861</v>
      </c>
      <c r="J45" s="426">
        <v>221246</v>
      </c>
      <c r="K45" s="426">
        <v>22703</v>
      </c>
      <c r="L45" s="426">
        <v>0</v>
      </c>
      <c r="M45" s="426">
        <v>289980</v>
      </c>
      <c r="N45" s="426">
        <v>626932</v>
      </c>
      <c r="O45" s="426">
        <v>0</v>
      </c>
      <c r="P45" s="426">
        <v>0</v>
      </c>
      <c r="Q45" s="426">
        <v>0</v>
      </c>
      <c r="R45" s="426">
        <v>2101947</v>
      </c>
      <c r="S45" s="490">
        <f t="shared" si="20"/>
        <v>3018859</v>
      </c>
      <c r="T45" s="492">
        <f t="shared" si="5"/>
        <v>0.2101448838405287</v>
      </c>
    </row>
    <row r="46" spans="1:20" s="385" customFormat="1" ht="24.75" customHeight="1">
      <c r="A46" s="456">
        <v>7</v>
      </c>
      <c r="B46" s="522" t="s">
        <v>468</v>
      </c>
      <c r="C46" s="490">
        <f t="shared" si="17"/>
        <v>643922</v>
      </c>
      <c r="D46" s="426">
        <v>617587</v>
      </c>
      <c r="E46" s="426">
        <v>26335</v>
      </c>
      <c r="F46" s="426">
        <v>3090</v>
      </c>
      <c r="G46" s="491">
        <v>0</v>
      </c>
      <c r="H46" s="490">
        <f t="shared" si="18"/>
        <v>640832</v>
      </c>
      <c r="I46" s="490">
        <f t="shared" si="19"/>
        <v>264224</v>
      </c>
      <c r="J46" s="426">
        <v>46334</v>
      </c>
      <c r="K46" s="426">
        <v>5010</v>
      </c>
      <c r="L46" s="426">
        <v>0</v>
      </c>
      <c r="M46" s="426">
        <v>212880</v>
      </c>
      <c r="N46" s="426">
        <v>0</v>
      </c>
      <c r="O46" s="426">
        <v>0</v>
      </c>
      <c r="P46" s="426">
        <v>0</v>
      </c>
      <c r="Q46" s="426">
        <v>0</v>
      </c>
      <c r="R46" s="426">
        <v>376608</v>
      </c>
      <c r="S46" s="490">
        <f t="shared" si="20"/>
        <v>589488</v>
      </c>
      <c r="T46" s="492">
        <f t="shared" si="5"/>
        <v>0.19431997093375317</v>
      </c>
    </row>
    <row r="47" spans="1:27" s="385" customFormat="1" ht="24.75" customHeight="1">
      <c r="A47" s="455">
        <v>4</v>
      </c>
      <c r="B47" s="469" t="s">
        <v>441</v>
      </c>
      <c r="C47" s="480">
        <f>SUM(C48:C50)</f>
        <v>14443245</v>
      </c>
      <c r="D47" s="480">
        <f>SUM(D48:D50)</f>
        <v>10312437</v>
      </c>
      <c r="E47" s="480">
        <f>SUM(E48:E50)</f>
        <v>4130808</v>
      </c>
      <c r="F47" s="480">
        <f>SUM(F48:F50)</f>
        <v>7000</v>
      </c>
      <c r="G47" s="480">
        <f>SUM(G48:G50)</f>
        <v>0</v>
      </c>
      <c r="H47" s="480">
        <f t="shared" si="18"/>
        <v>14436245</v>
      </c>
      <c r="I47" s="480">
        <f t="shared" si="19"/>
        <v>12686783</v>
      </c>
      <c r="J47" s="480">
        <f>SUM(J48:J50)</f>
        <v>2036378</v>
      </c>
      <c r="K47" s="480">
        <f>SUM(K48:K50)</f>
        <v>85264</v>
      </c>
      <c r="L47" s="480">
        <f>SUM(L48:L50)</f>
        <v>0</v>
      </c>
      <c r="M47" s="480">
        <f aca="true" t="shared" si="21" ref="M47:S47">SUM(M48:M50)</f>
        <v>10532141</v>
      </c>
      <c r="N47" s="480">
        <f t="shared" si="21"/>
        <v>33000</v>
      </c>
      <c r="O47" s="480">
        <f t="shared" si="21"/>
        <v>0</v>
      </c>
      <c r="P47" s="480">
        <f t="shared" si="21"/>
        <v>0</v>
      </c>
      <c r="Q47" s="480">
        <f t="shared" si="21"/>
        <v>0</v>
      </c>
      <c r="R47" s="480">
        <f t="shared" si="21"/>
        <v>1749462</v>
      </c>
      <c r="S47" s="494">
        <f t="shared" si="21"/>
        <v>12314603</v>
      </c>
      <c r="T47" s="481">
        <f>(K47+J47+L47)/I47</f>
        <v>0.1672324654721374</v>
      </c>
      <c r="U47" s="585">
        <f>I47/H47</f>
        <v>0.8788146086465005</v>
      </c>
      <c r="V47" s="586">
        <f>(S47-R47-9373520)/9373520</f>
        <v>0.1271263090066485</v>
      </c>
      <c r="W47" s="563">
        <f>(C47-12355229)/12355229</f>
        <v>0.16899856732724258</v>
      </c>
      <c r="X47" s="563">
        <f>(E47-11219085)/11219085</f>
        <v>-0.6318052675418717</v>
      </c>
      <c r="Y47" s="563">
        <f>(H47-12352073)/12352073</f>
        <v>0.1687305442576319</v>
      </c>
      <c r="Z47" s="563">
        <f>(I47-11460222)/11460222</f>
        <v>0.107027682360778</v>
      </c>
      <c r="AA47" s="563">
        <f>(J47+K47+L47-1436938)/1436938</f>
        <v>0.47650211769749284</v>
      </c>
    </row>
    <row r="48" spans="1:20" s="385" customFormat="1" ht="24.75" customHeight="1">
      <c r="A48" s="457" t="s">
        <v>43</v>
      </c>
      <c r="B48" s="489" t="s">
        <v>450</v>
      </c>
      <c r="C48" s="523">
        <f t="shared" si="17"/>
        <v>1149403</v>
      </c>
      <c r="D48" s="530">
        <v>108934</v>
      </c>
      <c r="E48" s="530">
        <v>1040469</v>
      </c>
      <c r="F48" s="530">
        <v>7000</v>
      </c>
      <c r="G48" s="524"/>
      <c r="H48" s="525">
        <f t="shared" si="18"/>
        <v>1142403</v>
      </c>
      <c r="I48" s="525">
        <f t="shared" si="19"/>
        <v>419446</v>
      </c>
      <c r="J48" s="530">
        <v>357415</v>
      </c>
      <c r="K48" s="530">
        <v>327</v>
      </c>
      <c r="L48" s="530"/>
      <c r="M48" s="530">
        <v>28704</v>
      </c>
      <c r="N48" s="530">
        <v>33000</v>
      </c>
      <c r="O48" s="530"/>
      <c r="P48" s="530"/>
      <c r="Q48" s="531"/>
      <c r="R48" s="533">
        <v>722957</v>
      </c>
      <c r="S48" s="525">
        <f>C48-F48-G48-J48-K48-L48</f>
        <v>784661</v>
      </c>
      <c r="T48" s="485">
        <f t="shared" si="5"/>
        <v>0.852891671395126</v>
      </c>
    </row>
    <row r="49" spans="1:20" s="385" customFormat="1" ht="24.75" customHeight="1">
      <c r="A49" s="457" t="s">
        <v>44</v>
      </c>
      <c r="B49" s="489" t="s">
        <v>443</v>
      </c>
      <c r="C49" s="523">
        <f t="shared" si="17"/>
        <v>1843864</v>
      </c>
      <c r="D49" s="530">
        <v>722053</v>
      </c>
      <c r="E49" s="530">
        <v>1121811</v>
      </c>
      <c r="F49" s="530"/>
      <c r="G49" s="524"/>
      <c r="H49" s="525">
        <f t="shared" si="18"/>
        <v>1843864</v>
      </c>
      <c r="I49" s="525">
        <f t="shared" si="19"/>
        <v>1286067</v>
      </c>
      <c r="J49" s="530">
        <v>805452</v>
      </c>
      <c r="K49" s="530">
        <v>40135</v>
      </c>
      <c r="L49" s="530"/>
      <c r="M49" s="530">
        <v>440480</v>
      </c>
      <c r="N49" s="530"/>
      <c r="O49" s="530"/>
      <c r="P49" s="530"/>
      <c r="Q49" s="531"/>
      <c r="R49" s="533">
        <v>557797</v>
      </c>
      <c r="S49" s="525">
        <f>C49-F49-G49-J49-K49-L49</f>
        <v>998277</v>
      </c>
      <c r="T49" s="485">
        <f t="shared" si="5"/>
        <v>0.6574984040489337</v>
      </c>
    </row>
    <row r="50" spans="1:20" s="385" customFormat="1" ht="24.75" customHeight="1">
      <c r="A50" s="457">
        <v>3</v>
      </c>
      <c r="B50" s="489" t="s">
        <v>448</v>
      </c>
      <c r="C50" s="523">
        <f t="shared" si="17"/>
        <v>11449978</v>
      </c>
      <c r="D50" s="530">
        <v>9481450</v>
      </c>
      <c r="E50" s="530">
        <v>1968528</v>
      </c>
      <c r="F50" s="530"/>
      <c r="G50" s="524"/>
      <c r="H50" s="525">
        <f t="shared" si="18"/>
        <v>11449978</v>
      </c>
      <c r="I50" s="525">
        <f t="shared" si="19"/>
        <v>10981270</v>
      </c>
      <c r="J50" s="530">
        <v>873511</v>
      </c>
      <c r="K50" s="530">
        <v>44802</v>
      </c>
      <c r="L50" s="530"/>
      <c r="M50" s="530">
        <v>10062957</v>
      </c>
      <c r="N50" s="530"/>
      <c r="O50" s="530"/>
      <c r="P50" s="530"/>
      <c r="Q50" s="531"/>
      <c r="R50" s="533">
        <v>468708</v>
      </c>
      <c r="S50" s="525">
        <f>C50-F50-G50-J50-K50-L50</f>
        <v>10531665</v>
      </c>
      <c r="T50" s="485">
        <f t="shared" si="5"/>
        <v>0.08362539123434722</v>
      </c>
    </row>
    <row r="51" spans="1:27" s="385" customFormat="1" ht="24.75" customHeight="1">
      <c r="A51" s="455">
        <v>5</v>
      </c>
      <c r="B51" s="469" t="s">
        <v>444</v>
      </c>
      <c r="C51" s="480">
        <f>D51+E51</f>
        <v>6781109</v>
      </c>
      <c r="D51" s="494">
        <f>SUM(D52:D54)</f>
        <v>3502730</v>
      </c>
      <c r="E51" s="494">
        <f>SUM(E52:E54)</f>
        <v>3278379</v>
      </c>
      <c r="F51" s="494">
        <f>SUM(F52:F54)</f>
        <v>134322</v>
      </c>
      <c r="G51" s="480">
        <f>SUM(G52:G54)</f>
        <v>0</v>
      </c>
      <c r="H51" s="480">
        <f t="shared" si="18"/>
        <v>6646787</v>
      </c>
      <c r="I51" s="480">
        <f t="shared" si="19"/>
        <v>3704606</v>
      </c>
      <c r="J51" s="480">
        <f aca="true" t="shared" si="22" ref="J51:R51">SUM(J52:J54)</f>
        <v>1921592</v>
      </c>
      <c r="K51" s="480">
        <f t="shared" si="22"/>
        <v>37973</v>
      </c>
      <c r="L51" s="480">
        <f t="shared" si="22"/>
        <v>17924</v>
      </c>
      <c r="M51" s="480">
        <f t="shared" si="22"/>
        <v>1727117</v>
      </c>
      <c r="N51" s="480">
        <f t="shared" si="22"/>
        <v>0</v>
      </c>
      <c r="O51" s="480">
        <f t="shared" si="22"/>
        <v>0</v>
      </c>
      <c r="P51" s="480">
        <f t="shared" si="22"/>
        <v>0</v>
      </c>
      <c r="Q51" s="480">
        <f t="shared" si="22"/>
        <v>0</v>
      </c>
      <c r="R51" s="480">
        <f t="shared" si="22"/>
        <v>2942181</v>
      </c>
      <c r="S51" s="480">
        <f>SUM(S52:S54)</f>
        <v>4669298</v>
      </c>
      <c r="T51" s="481">
        <f t="shared" si="5"/>
        <v>0.5337919875959819</v>
      </c>
      <c r="U51" s="587">
        <f>I51/H51</f>
        <v>0.5573528984756093</v>
      </c>
      <c r="V51" s="587">
        <f>(S51-R51-2484180)/2484180</f>
        <v>-0.3047536812952363</v>
      </c>
      <c r="W51" s="563">
        <f>(C51-5662376)/5662376</f>
        <v>0.1975730682667488</v>
      </c>
      <c r="X51" s="563">
        <f>(E51-3920399)/3920399</f>
        <v>-0.1637639434149432</v>
      </c>
      <c r="Y51" s="563">
        <f>(H51-5616377)/5616377</f>
        <v>0.18346524814840598</v>
      </c>
      <c r="Z51" s="563">
        <f>(I51-4691943)/4691943</f>
        <v>-0.21043243705219777</v>
      </c>
      <c r="AA51" s="563">
        <f>(J51+K51+L51-1337495)/1337495</f>
        <v>0.4785019757083204</v>
      </c>
    </row>
    <row r="52" spans="1:20" s="385" customFormat="1" ht="24.75" customHeight="1">
      <c r="A52" s="456" t="s">
        <v>43</v>
      </c>
      <c r="B52" s="513" t="s">
        <v>445</v>
      </c>
      <c r="C52" s="483">
        <f>D52+E52</f>
        <v>644905</v>
      </c>
      <c r="D52" s="504">
        <v>323162</v>
      </c>
      <c r="E52" s="504">
        <v>321743</v>
      </c>
      <c r="F52" s="504">
        <v>75600</v>
      </c>
      <c r="G52" s="495"/>
      <c r="H52" s="483">
        <f t="shared" si="18"/>
        <v>569305</v>
      </c>
      <c r="I52" s="483">
        <f t="shared" si="19"/>
        <v>231508</v>
      </c>
      <c r="J52" s="540">
        <v>121906</v>
      </c>
      <c r="K52" s="540"/>
      <c r="L52" s="540"/>
      <c r="M52" s="540">
        <v>109602</v>
      </c>
      <c r="N52" s="540"/>
      <c r="O52" s="558"/>
      <c r="P52" s="558"/>
      <c r="Q52" s="558"/>
      <c r="R52" s="562">
        <v>337797</v>
      </c>
      <c r="S52" s="483">
        <f>C52-F52-G52-J52-K52-L52</f>
        <v>447399</v>
      </c>
      <c r="T52" s="492">
        <f t="shared" si="5"/>
        <v>0.5265735957288733</v>
      </c>
    </row>
    <row r="53" spans="1:20" s="385" customFormat="1" ht="24.75" customHeight="1">
      <c r="A53" s="456" t="s">
        <v>44</v>
      </c>
      <c r="B53" s="513" t="s">
        <v>446</v>
      </c>
      <c r="C53" s="483">
        <f>D53+E53</f>
        <v>1955389</v>
      </c>
      <c r="D53" s="504">
        <v>762166</v>
      </c>
      <c r="E53" s="504">
        <v>1193223</v>
      </c>
      <c r="F53" s="504">
        <v>31200</v>
      </c>
      <c r="G53" s="495"/>
      <c r="H53" s="483">
        <f t="shared" si="18"/>
        <v>1924189</v>
      </c>
      <c r="I53" s="483">
        <f t="shared" si="19"/>
        <v>1241277</v>
      </c>
      <c r="J53" s="540">
        <v>439504</v>
      </c>
      <c r="K53" s="540">
        <v>13350</v>
      </c>
      <c r="L53" s="540">
        <v>13012</v>
      </c>
      <c r="M53" s="540">
        <v>775411</v>
      </c>
      <c r="N53" s="540">
        <v>0</v>
      </c>
      <c r="O53" s="558"/>
      <c r="P53" s="558"/>
      <c r="Q53" s="558"/>
      <c r="R53" s="562">
        <v>682912</v>
      </c>
      <c r="S53" s="483">
        <f>C53-F53-G53-J53-K53-L53</f>
        <v>1458323</v>
      </c>
      <c r="T53" s="492">
        <f t="shared" si="5"/>
        <v>0.3753118763982576</v>
      </c>
    </row>
    <row r="54" spans="1:20" s="385" customFormat="1" ht="24.75" customHeight="1">
      <c r="A54" s="456" t="s">
        <v>45</v>
      </c>
      <c r="B54" s="513" t="s">
        <v>440</v>
      </c>
      <c r="C54" s="483">
        <f>D54+E54</f>
        <v>4180815</v>
      </c>
      <c r="D54" s="504">
        <v>2417402</v>
      </c>
      <c r="E54" s="504">
        <v>1763413</v>
      </c>
      <c r="F54" s="504">
        <v>27522</v>
      </c>
      <c r="G54" s="495"/>
      <c r="H54" s="483">
        <f t="shared" si="18"/>
        <v>4153293</v>
      </c>
      <c r="I54" s="483">
        <f t="shared" si="19"/>
        <v>2231821</v>
      </c>
      <c r="J54" s="540">
        <v>1360182</v>
      </c>
      <c r="K54" s="540">
        <v>24623</v>
      </c>
      <c r="L54" s="540">
        <v>4912</v>
      </c>
      <c r="M54" s="540">
        <v>842104</v>
      </c>
      <c r="N54" s="540"/>
      <c r="O54" s="558"/>
      <c r="P54" s="558"/>
      <c r="Q54" s="558"/>
      <c r="R54" s="562">
        <v>1921472</v>
      </c>
      <c r="S54" s="483">
        <f>C54-F54-G54-J54-K54-L54</f>
        <v>2763576</v>
      </c>
      <c r="T54" s="492">
        <f t="shared" si="5"/>
        <v>0.622683001907411</v>
      </c>
    </row>
    <row r="55" spans="1:27" s="385" customFormat="1" ht="24.75" customHeight="1">
      <c r="A55" s="458">
        <v>6</v>
      </c>
      <c r="B55" s="469" t="s">
        <v>449</v>
      </c>
      <c r="C55" s="496">
        <f t="shared" si="17"/>
        <v>1684557</v>
      </c>
      <c r="D55" s="496">
        <f>D56+D57</f>
        <v>954254</v>
      </c>
      <c r="E55" s="496">
        <f>SUM(E56:E57)</f>
        <v>730303</v>
      </c>
      <c r="F55" s="496">
        <f>SUM(F56:F57)</f>
        <v>218000</v>
      </c>
      <c r="G55" s="496">
        <f>SUM(G56:G57)</f>
        <v>0</v>
      </c>
      <c r="H55" s="496">
        <f t="shared" si="18"/>
        <v>1466557</v>
      </c>
      <c r="I55" s="496">
        <f t="shared" si="19"/>
        <v>715641</v>
      </c>
      <c r="J55" s="496">
        <f aca="true" t="shared" si="23" ref="J55:S55">SUM(J56:J57)</f>
        <v>325518</v>
      </c>
      <c r="K55" s="496">
        <f t="shared" si="23"/>
        <v>21434</v>
      </c>
      <c r="L55" s="496">
        <f t="shared" si="23"/>
        <v>0</v>
      </c>
      <c r="M55" s="496">
        <f t="shared" si="23"/>
        <v>368689</v>
      </c>
      <c r="N55" s="496">
        <f t="shared" si="23"/>
        <v>0</v>
      </c>
      <c r="O55" s="496">
        <f t="shared" si="23"/>
        <v>0</v>
      </c>
      <c r="P55" s="496">
        <f t="shared" si="23"/>
        <v>0</v>
      </c>
      <c r="Q55" s="496">
        <f t="shared" si="23"/>
        <v>0</v>
      </c>
      <c r="R55" s="496">
        <f t="shared" si="23"/>
        <v>750916</v>
      </c>
      <c r="S55" s="496">
        <f t="shared" si="23"/>
        <v>1119605</v>
      </c>
      <c r="T55" s="493">
        <f t="shared" si="5"/>
        <v>0.4848129159732324</v>
      </c>
      <c r="U55" s="583">
        <f>I55/H55</f>
        <v>0.48797353256641235</v>
      </c>
      <c r="V55" s="588">
        <f>(S55-R55-324229)/324229</f>
        <v>0.13712530341209453</v>
      </c>
      <c r="W55" s="563">
        <f>(C55-1311054)/1311054</f>
        <v>0.2848875790013226</v>
      </c>
      <c r="X55" s="563">
        <f>(E55-1135713)/1135713</f>
        <v>-0.3569651839857429</v>
      </c>
      <c r="Y55" s="563">
        <f>(H55-1301551)/1311551</f>
        <v>0.12580982363629017</v>
      </c>
      <c r="Z55" s="563">
        <f>(I55-733027)/733027</f>
        <v>-0.023718089511027562</v>
      </c>
      <c r="AA55" s="563">
        <f>(J55+K55+L55-395571)/395571</f>
        <v>-0.1229084032954893</v>
      </c>
    </row>
    <row r="56" spans="1:20" s="385" customFormat="1" ht="24.75" customHeight="1">
      <c r="A56" s="457" t="s">
        <v>43</v>
      </c>
      <c r="B56" s="489" t="s">
        <v>442</v>
      </c>
      <c r="C56" s="483">
        <f t="shared" si="17"/>
        <v>1238464</v>
      </c>
      <c r="D56" s="540">
        <v>619071</v>
      </c>
      <c r="E56" s="540">
        <v>619393</v>
      </c>
      <c r="F56" s="540">
        <v>188000</v>
      </c>
      <c r="G56" s="484">
        <v>0</v>
      </c>
      <c r="H56" s="497">
        <f t="shared" si="18"/>
        <v>1050464</v>
      </c>
      <c r="I56" s="497">
        <f>SUM(J56:Q56)</f>
        <v>591404</v>
      </c>
      <c r="J56" s="540">
        <v>249915</v>
      </c>
      <c r="K56" s="540">
        <v>0</v>
      </c>
      <c r="L56" s="540">
        <v>0</v>
      </c>
      <c r="M56" s="540">
        <v>341489</v>
      </c>
      <c r="N56" s="540">
        <v>0</v>
      </c>
      <c r="O56" s="558">
        <v>0</v>
      </c>
      <c r="P56" s="558">
        <v>0</v>
      </c>
      <c r="Q56" s="558">
        <v>0</v>
      </c>
      <c r="R56" s="559">
        <v>459060</v>
      </c>
      <c r="S56" s="483">
        <f>C56-F56-G56-J56-K56-L56</f>
        <v>800549</v>
      </c>
      <c r="T56" s="485">
        <f t="shared" si="5"/>
        <v>0.4225791506313789</v>
      </c>
    </row>
    <row r="57" spans="1:20" s="385" customFormat="1" ht="24.75" customHeight="1">
      <c r="A57" s="457" t="s">
        <v>44</v>
      </c>
      <c r="B57" s="489" t="s">
        <v>451</v>
      </c>
      <c r="C57" s="483">
        <f t="shared" si="17"/>
        <v>446093</v>
      </c>
      <c r="D57" s="557">
        <v>335183</v>
      </c>
      <c r="E57" s="540">
        <v>110910</v>
      </c>
      <c r="F57" s="557">
        <v>30000</v>
      </c>
      <c r="G57" s="498">
        <v>0</v>
      </c>
      <c r="H57" s="497">
        <f t="shared" si="18"/>
        <v>416093</v>
      </c>
      <c r="I57" s="497">
        <f t="shared" si="19"/>
        <v>124237</v>
      </c>
      <c r="J57" s="561">
        <v>75603</v>
      </c>
      <c r="K57" s="561">
        <v>21434</v>
      </c>
      <c r="L57" s="556">
        <v>0</v>
      </c>
      <c r="M57" s="539">
        <v>27200</v>
      </c>
      <c r="N57" s="556">
        <v>0</v>
      </c>
      <c r="O57" s="560">
        <v>0</v>
      </c>
      <c r="P57" s="560">
        <v>0</v>
      </c>
      <c r="Q57" s="560">
        <v>0</v>
      </c>
      <c r="R57" s="559">
        <v>291856</v>
      </c>
      <c r="S57" s="483">
        <f>C57-F57-G57-J57-K57-L57</f>
        <v>319056</v>
      </c>
      <c r="T57" s="485">
        <f t="shared" si="5"/>
        <v>0.7810636122894146</v>
      </c>
    </row>
    <row r="58" spans="1:27" s="385" customFormat="1" ht="24.75" customHeight="1">
      <c r="A58" s="455">
        <v>7</v>
      </c>
      <c r="B58" s="469" t="s">
        <v>452</v>
      </c>
      <c r="C58" s="494">
        <f t="shared" si="17"/>
        <v>2145573</v>
      </c>
      <c r="D58" s="494">
        <f>SUM(D59:D60)</f>
        <v>437156</v>
      </c>
      <c r="E58" s="494">
        <f aca="true" t="shared" si="24" ref="E58:S58">SUM(E59:E60)</f>
        <v>1708417</v>
      </c>
      <c r="F58" s="494">
        <f t="shared" si="24"/>
        <v>6200</v>
      </c>
      <c r="G58" s="494">
        <f t="shared" si="24"/>
        <v>0</v>
      </c>
      <c r="H58" s="494">
        <f t="shared" si="24"/>
        <v>2139373</v>
      </c>
      <c r="I58" s="494">
        <f t="shared" si="24"/>
        <v>323462</v>
      </c>
      <c r="J58" s="494">
        <f t="shared" si="24"/>
        <v>262910</v>
      </c>
      <c r="K58" s="494">
        <f t="shared" si="24"/>
        <v>21083</v>
      </c>
      <c r="L58" s="494">
        <f t="shared" si="24"/>
        <v>0</v>
      </c>
      <c r="M58" s="494">
        <f t="shared" si="24"/>
        <v>39469</v>
      </c>
      <c r="N58" s="494">
        <f t="shared" si="24"/>
        <v>0</v>
      </c>
      <c r="O58" s="494">
        <f t="shared" si="24"/>
        <v>0</v>
      </c>
      <c r="P58" s="494">
        <f t="shared" si="24"/>
        <v>0</v>
      </c>
      <c r="Q58" s="494">
        <f t="shared" si="24"/>
        <v>0</v>
      </c>
      <c r="R58" s="494">
        <f t="shared" si="24"/>
        <v>1815911</v>
      </c>
      <c r="S58" s="494">
        <f t="shared" si="24"/>
        <v>1855380</v>
      </c>
      <c r="T58" s="481">
        <f t="shared" si="5"/>
        <v>0.8779794844525787</v>
      </c>
      <c r="U58" s="587">
        <f>I58/H58</f>
        <v>0.15119476594310577</v>
      </c>
      <c r="V58" s="579">
        <f>(S58-R58-75000)/75000</f>
        <v>-0.47374666666666665</v>
      </c>
      <c r="W58" s="563">
        <f>(C58-628948)/628948</f>
        <v>2.4113678714297526</v>
      </c>
      <c r="X58" s="563">
        <f>(E58-583237)/583237</f>
        <v>1.9291985933677047</v>
      </c>
      <c r="Y58" s="563">
        <f>(H58-628948)/628948</f>
        <v>2.401510140742955</v>
      </c>
      <c r="Z58" s="563">
        <f>(I58-445896)/445896</f>
        <v>-0.2745797226259038</v>
      </c>
      <c r="AA58" s="563">
        <f>(J58+K58+L58-148947)/148947</f>
        <v>0.9066715006008849</v>
      </c>
    </row>
    <row r="59" spans="1:20" s="385" customFormat="1" ht="24.75" customHeight="1">
      <c r="A59" s="455">
        <v>1</v>
      </c>
      <c r="B59" s="514" t="s">
        <v>453</v>
      </c>
      <c r="C59" s="483">
        <f t="shared" si="17"/>
        <v>139139</v>
      </c>
      <c r="D59" s="534">
        <v>80800</v>
      </c>
      <c r="E59" s="535">
        <f>57039+1300</f>
        <v>58339</v>
      </c>
      <c r="F59" s="536">
        <v>2800</v>
      </c>
      <c r="G59" s="499">
        <v>0</v>
      </c>
      <c r="H59" s="483">
        <f t="shared" si="18"/>
        <v>136339</v>
      </c>
      <c r="I59" s="483">
        <f t="shared" si="19"/>
        <v>24839</v>
      </c>
      <c r="J59" s="535">
        <v>15014</v>
      </c>
      <c r="K59" s="535">
        <v>0</v>
      </c>
      <c r="L59" s="537">
        <v>0</v>
      </c>
      <c r="M59" s="537">
        <v>9825</v>
      </c>
      <c r="N59" s="536">
        <v>0</v>
      </c>
      <c r="O59" s="535">
        <v>0</v>
      </c>
      <c r="P59" s="535">
        <v>0</v>
      </c>
      <c r="Q59" s="535">
        <v>0</v>
      </c>
      <c r="R59" s="535">
        <v>111500</v>
      </c>
      <c r="S59" s="483">
        <f>C59-F59-G59-J59-K59-L59</f>
        <v>121325</v>
      </c>
      <c r="T59" s="485">
        <f t="shared" si="5"/>
        <v>0.6044526752284713</v>
      </c>
    </row>
    <row r="60" spans="1:20" s="385" customFormat="1" ht="24.75" customHeight="1">
      <c r="A60" s="456">
        <v>2</v>
      </c>
      <c r="B60" s="514" t="s">
        <v>454</v>
      </c>
      <c r="C60" s="483">
        <f t="shared" si="17"/>
        <v>2006434</v>
      </c>
      <c r="D60" s="534">
        <v>356356</v>
      </c>
      <c r="E60" s="535">
        <f>1632336+17742</f>
        <v>1650078</v>
      </c>
      <c r="F60" s="536">
        <v>3400</v>
      </c>
      <c r="G60" s="499">
        <v>0</v>
      </c>
      <c r="H60" s="483">
        <f t="shared" si="18"/>
        <v>2003034</v>
      </c>
      <c r="I60" s="483">
        <f t="shared" si="19"/>
        <v>298623</v>
      </c>
      <c r="J60" s="535">
        <v>247896</v>
      </c>
      <c r="K60" s="535">
        <v>21083</v>
      </c>
      <c r="L60" s="537">
        <v>0</v>
      </c>
      <c r="M60" s="537">
        <v>29644</v>
      </c>
      <c r="N60" s="536">
        <v>0</v>
      </c>
      <c r="O60" s="535">
        <v>0</v>
      </c>
      <c r="P60" s="535">
        <v>0</v>
      </c>
      <c r="Q60" s="535">
        <v>0</v>
      </c>
      <c r="R60" s="535">
        <v>1704411</v>
      </c>
      <c r="S60" s="483">
        <f>C60-F60-G60-J60-K60-L60</f>
        <v>1734055</v>
      </c>
      <c r="T60" s="485">
        <f t="shared" si="5"/>
        <v>0.9007310220579124</v>
      </c>
    </row>
    <row r="61" spans="1:22" s="385" customFormat="1" ht="24.75" customHeight="1" thickBot="1">
      <c r="A61" s="941" t="s">
        <v>470</v>
      </c>
      <c r="B61" s="941"/>
      <c r="C61" s="941"/>
      <c r="D61" s="941"/>
      <c r="E61" s="941"/>
      <c r="F61" s="941"/>
      <c r="G61" s="941"/>
      <c r="H61" s="941"/>
      <c r="I61" s="941"/>
      <c r="J61" s="941"/>
      <c r="K61" s="941"/>
      <c r="L61" s="941"/>
      <c r="M61" s="941"/>
      <c r="N61" s="941"/>
      <c r="O61" s="941"/>
      <c r="P61" s="941"/>
      <c r="Q61" s="941"/>
      <c r="R61" s="941"/>
      <c r="S61" s="941"/>
      <c r="T61" s="941"/>
      <c r="U61" s="941"/>
      <c r="V61" s="941"/>
    </row>
    <row r="62" spans="1:20" s="384" customFormat="1" ht="24.75" customHeight="1" thickTop="1">
      <c r="A62" s="944"/>
      <c r="B62" s="944"/>
      <c r="C62" s="944"/>
      <c r="D62" s="944"/>
      <c r="E62" s="944"/>
      <c r="F62" s="459"/>
      <c r="G62" s="460"/>
      <c r="H62" s="460"/>
      <c r="I62" s="460"/>
      <c r="J62" s="460"/>
      <c r="K62" s="460"/>
      <c r="L62" s="460"/>
      <c r="M62" s="460"/>
      <c r="N62" s="460"/>
      <c r="O62" s="966" t="e">
        <f>#REF!</f>
        <v>#REF!</v>
      </c>
      <c r="P62" s="966"/>
      <c r="Q62" s="966"/>
      <c r="R62" s="966"/>
      <c r="S62" s="966"/>
      <c r="T62" s="966"/>
    </row>
    <row r="63" spans="1:20" s="400" customFormat="1" ht="22.5" customHeight="1">
      <c r="A63" s="461"/>
      <c r="B63" s="960" t="s">
        <v>4</v>
      </c>
      <c r="C63" s="960"/>
      <c r="D63" s="960"/>
      <c r="E63" s="960"/>
      <c r="F63" s="462"/>
      <c r="G63" s="462"/>
      <c r="H63" s="462"/>
      <c r="I63" s="462"/>
      <c r="J63" s="462"/>
      <c r="K63" s="462"/>
      <c r="L63" s="462"/>
      <c r="M63" s="462"/>
      <c r="N63" s="462"/>
      <c r="O63" s="963" t="e">
        <f>#REF!</f>
        <v>#REF!</v>
      </c>
      <c r="P63" s="963"/>
      <c r="Q63" s="963"/>
      <c r="R63" s="963"/>
      <c r="S63" s="963"/>
      <c r="T63" s="963"/>
    </row>
    <row r="64" spans="1:20" ht="18.75">
      <c r="A64" s="403"/>
      <c r="B64" s="921"/>
      <c r="C64" s="921"/>
      <c r="D64" s="921"/>
      <c r="E64" s="404"/>
      <c r="F64" s="404"/>
      <c r="G64" s="404"/>
      <c r="H64" s="404"/>
      <c r="I64" s="404"/>
      <c r="J64" s="404"/>
      <c r="K64" s="404"/>
      <c r="L64" s="404"/>
      <c r="M64" s="404"/>
      <c r="N64" s="404"/>
      <c r="O64" s="919"/>
      <c r="P64" s="919"/>
      <c r="Q64" s="919"/>
      <c r="R64" s="919"/>
      <c r="S64" s="919"/>
      <c r="T64" s="919"/>
    </row>
    <row r="65" spans="1:20" ht="18.75">
      <c r="A65" s="403"/>
      <c r="B65" s="403"/>
      <c r="C65" s="403"/>
      <c r="D65" s="404"/>
      <c r="E65" s="404"/>
      <c r="F65" s="404"/>
      <c r="G65" s="404"/>
      <c r="H65" s="404"/>
      <c r="I65" s="404"/>
      <c r="J65" s="404"/>
      <c r="K65" s="404"/>
      <c r="L65" s="404"/>
      <c r="M65" s="404"/>
      <c r="N65" s="404"/>
      <c r="O65" s="404"/>
      <c r="P65" s="404"/>
      <c r="Q65" s="404"/>
      <c r="R65" s="404"/>
      <c r="S65" s="403"/>
      <c r="T65" s="403"/>
    </row>
    <row r="66" spans="1:20" ht="15.75">
      <c r="A66" s="402"/>
      <c r="B66" s="934"/>
      <c r="C66" s="934"/>
      <c r="D66" s="934"/>
      <c r="E66" s="411"/>
      <c r="F66" s="411"/>
      <c r="G66" s="411"/>
      <c r="H66" s="411"/>
      <c r="I66" s="411"/>
      <c r="J66" s="411"/>
      <c r="K66" s="411"/>
      <c r="L66" s="411"/>
      <c r="M66" s="411"/>
      <c r="N66" s="411"/>
      <c r="O66" s="411"/>
      <c r="P66" s="411"/>
      <c r="Q66" s="934"/>
      <c r="R66" s="934"/>
      <c r="S66" s="934"/>
      <c r="T66" s="402"/>
    </row>
    <row r="67" spans="1:20" ht="15.75" customHeight="1">
      <c r="A67" s="412"/>
      <c r="B67" s="408"/>
      <c r="C67" s="408"/>
      <c r="D67" s="413"/>
      <c r="E67" s="413"/>
      <c r="F67" s="413"/>
      <c r="G67" s="413"/>
      <c r="H67" s="413"/>
      <c r="I67" s="413"/>
      <c r="J67" s="413"/>
      <c r="K67" s="413"/>
      <c r="L67" s="413"/>
      <c r="M67" s="413"/>
      <c r="N67" s="413"/>
      <c r="O67" s="413"/>
      <c r="P67" s="413"/>
      <c r="Q67" s="413"/>
      <c r="R67" s="413"/>
      <c r="S67" s="408"/>
      <c r="T67" s="408"/>
    </row>
    <row r="68" spans="1:20" ht="15.75" customHeight="1">
      <c r="A68" s="402"/>
      <c r="B68" s="948"/>
      <c r="C68" s="948"/>
      <c r="D68" s="948"/>
      <c r="E68" s="948"/>
      <c r="F68" s="948"/>
      <c r="G68" s="948"/>
      <c r="H68" s="948"/>
      <c r="I68" s="948"/>
      <c r="J68" s="948"/>
      <c r="K68" s="948"/>
      <c r="L68" s="948"/>
      <c r="M68" s="948"/>
      <c r="N68" s="948"/>
      <c r="O68" s="948"/>
      <c r="P68" s="948"/>
      <c r="Q68" s="411"/>
      <c r="R68" s="411"/>
      <c r="S68" s="402"/>
      <c r="T68" s="402"/>
    </row>
    <row r="69" spans="1:20" ht="15.75">
      <c r="A69" s="414"/>
      <c r="B69" s="414"/>
      <c r="C69" s="414"/>
      <c r="D69" s="414"/>
      <c r="E69" s="414"/>
      <c r="F69" s="414"/>
      <c r="G69" s="414"/>
      <c r="H69" s="414"/>
      <c r="I69" s="414"/>
      <c r="J69" s="414"/>
      <c r="K69" s="414"/>
      <c r="L69" s="414"/>
      <c r="M69" s="414"/>
      <c r="N69" s="414"/>
      <c r="O69" s="414"/>
      <c r="P69" s="414"/>
      <c r="Q69" s="414"/>
      <c r="R69" s="402"/>
      <c r="S69" s="402"/>
      <c r="T69" s="402"/>
    </row>
    <row r="70" spans="1:20" ht="18.75">
      <c r="A70" s="402"/>
      <c r="B70" s="923" t="e">
        <f>#REF!</f>
        <v>#REF!</v>
      </c>
      <c r="C70" s="923"/>
      <c r="D70" s="923"/>
      <c r="E70" s="923"/>
      <c r="F70" s="408"/>
      <c r="G70" s="408"/>
      <c r="H70" s="408"/>
      <c r="I70" s="408"/>
      <c r="J70" s="408"/>
      <c r="K70" s="408"/>
      <c r="L70" s="408"/>
      <c r="M70" s="408"/>
      <c r="N70" s="408"/>
      <c r="O70" s="923" t="e">
        <f>#REF!</f>
        <v>#REF!</v>
      </c>
      <c r="P70" s="923"/>
      <c r="Q70" s="923"/>
      <c r="R70" s="923"/>
      <c r="S70" s="923"/>
      <c r="T70" s="923"/>
    </row>
    <row r="71" spans="2:20" ht="18.75">
      <c r="B71" s="946"/>
      <c r="C71" s="946"/>
      <c r="D71" s="946"/>
      <c r="E71" s="946"/>
      <c r="F71" s="385"/>
      <c r="G71" s="385"/>
      <c r="H71" s="385"/>
      <c r="I71" s="385"/>
      <c r="J71" s="385"/>
      <c r="K71" s="385"/>
      <c r="L71" s="385"/>
      <c r="M71" s="385"/>
      <c r="N71" s="385"/>
      <c r="O71" s="385"/>
      <c r="P71" s="946"/>
      <c r="Q71" s="946"/>
      <c r="R71" s="946"/>
      <c r="S71" s="946"/>
      <c r="T71" s="947"/>
    </row>
  </sheetData>
  <sheetProtection/>
  <mergeCells count="47">
    <mergeCell ref="B23:S23"/>
    <mergeCell ref="A2:D2"/>
    <mergeCell ref="Q2:T2"/>
    <mergeCell ref="B63:E63"/>
    <mergeCell ref="A10:B10"/>
    <mergeCell ref="H7:H9"/>
    <mergeCell ref="O63:T63"/>
    <mergeCell ref="T6:T9"/>
    <mergeCell ref="O62:T62"/>
    <mergeCell ref="S6:S9"/>
    <mergeCell ref="C7:C9"/>
    <mergeCell ref="E1:P1"/>
    <mergeCell ref="E2:P2"/>
    <mergeCell ref="E3:P3"/>
    <mergeCell ref="F6:F9"/>
    <mergeCell ref="G6:G9"/>
    <mergeCell ref="H6:R6"/>
    <mergeCell ref="C6:E6"/>
    <mergeCell ref="I7:Q7"/>
    <mergeCell ref="I8:I9"/>
    <mergeCell ref="R7:R9"/>
    <mergeCell ref="A3:D3"/>
    <mergeCell ref="A62:E62"/>
    <mergeCell ref="Q4:T4"/>
    <mergeCell ref="B71:E71"/>
    <mergeCell ref="P71:T71"/>
    <mergeCell ref="B70:E70"/>
    <mergeCell ref="B68:P68"/>
    <mergeCell ref="O70:T70"/>
    <mergeCell ref="Q66:S66"/>
    <mergeCell ref="B66:D66"/>
    <mergeCell ref="O64:T64"/>
    <mergeCell ref="B64:D64"/>
    <mergeCell ref="A6:B9"/>
    <mergeCell ref="Q5:T5"/>
    <mergeCell ref="D7:E7"/>
    <mergeCell ref="D8:D9"/>
    <mergeCell ref="E8:E9"/>
    <mergeCell ref="J8:Q8"/>
    <mergeCell ref="A61:V61"/>
    <mergeCell ref="AA7:AA9"/>
    <mergeCell ref="U7:U10"/>
    <mergeCell ref="V7:V10"/>
    <mergeCell ref="W7:W9"/>
    <mergeCell ref="X7:X9"/>
    <mergeCell ref="Y7:Y9"/>
    <mergeCell ref="Z7:Z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42" t="s">
        <v>29</v>
      </c>
      <c r="B1" s="642"/>
      <c r="C1" s="642"/>
      <c r="D1" s="642"/>
      <c r="E1" s="641" t="s">
        <v>359</v>
      </c>
      <c r="F1" s="641"/>
      <c r="G1" s="641"/>
      <c r="H1" s="641"/>
      <c r="I1" s="641"/>
      <c r="J1" s="641"/>
      <c r="K1" s="641"/>
      <c r="L1" s="31" t="s">
        <v>335</v>
      </c>
      <c r="M1" s="31"/>
      <c r="N1" s="31"/>
      <c r="O1" s="32"/>
      <c r="P1" s="32"/>
    </row>
    <row r="2" spans="1:16" ht="15.75" customHeight="1">
      <c r="A2" s="644" t="s">
        <v>226</v>
      </c>
      <c r="B2" s="644"/>
      <c r="C2" s="644"/>
      <c r="D2" s="644"/>
      <c r="E2" s="641"/>
      <c r="F2" s="641"/>
      <c r="G2" s="641"/>
      <c r="H2" s="641"/>
      <c r="I2" s="641"/>
      <c r="J2" s="641"/>
      <c r="K2" s="641"/>
      <c r="L2" s="645" t="s">
        <v>238</v>
      </c>
      <c r="M2" s="645"/>
      <c r="N2" s="645"/>
      <c r="O2" s="35"/>
      <c r="P2" s="32"/>
    </row>
    <row r="3" spans="1:16" ht="18" customHeight="1">
      <c r="A3" s="644" t="s">
        <v>227</v>
      </c>
      <c r="B3" s="644"/>
      <c r="C3" s="644"/>
      <c r="D3" s="644"/>
      <c r="E3" s="643" t="s">
        <v>355</v>
      </c>
      <c r="F3" s="643"/>
      <c r="G3" s="643"/>
      <c r="H3" s="643"/>
      <c r="I3" s="643"/>
      <c r="J3" s="643"/>
      <c r="K3" s="36"/>
      <c r="L3" s="656" t="s">
        <v>354</v>
      </c>
      <c r="M3" s="656"/>
      <c r="N3" s="656"/>
      <c r="O3" s="32"/>
      <c r="P3" s="32"/>
    </row>
    <row r="4" spans="1:16" ht="21" customHeight="1">
      <c r="A4" s="640" t="s">
        <v>241</v>
      </c>
      <c r="B4" s="640"/>
      <c r="C4" s="640"/>
      <c r="D4" s="640"/>
      <c r="E4" s="39"/>
      <c r="F4" s="40"/>
      <c r="G4" s="41"/>
      <c r="H4" s="41"/>
      <c r="I4" s="41"/>
      <c r="J4" s="41"/>
      <c r="K4" s="32"/>
      <c r="L4" s="645" t="s">
        <v>233</v>
      </c>
      <c r="M4" s="645"/>
      <c r="N4" s="645"/>
      <c r="O4" s="35"/>
      <c r="P4" s="32"/>
    </row>
    <row r="5" spans="1:16" ht="18" customHeight="1">
      <c r="A5" s="41"/>
      <c r="B5" s="32"/>
      <c r="C5" s="42"/>
      <c r="D5" s="638"/>
      <c r="E5" s="638"/>
      <c r="F5" s="638"/>
      <c r="G5" s="638"/>
      <c r="H5" s="638"/>
      <c r="I5" s="638"/>
      <c r="J5" s="638"/>
      <c r="K5" s="638"/>
      <c r="L5" s="43" t="s">
        <v>242</v>
      </c>
      <c r="M5" s="43"/>
      <c r="N5" s="43"/>
      <c r="O5" s="32"/>
      <c r="P5" s="32"/>
    </row>
    <row r="6" spans="1:18" ht="33" customHeight="1">
      <c r="A6" s="631" t="s">
        <v>53</v>
      </c>
      <c r="B6" s="632"/>
      <c r="C6" s="639" t="s">
        <v>243</v>
      </c>
      <c r="D6" s="639"/>
      <c r="E6" s="639"/>
      <c r="F6" s="639"/>
      <c r="G6" s="635" t="s">
        <v>7</v>
      </c>
      <c r="H6" s="636"/>
      <c r="I6" s="636"/>
      <c r="J6" s="636"/>
      <c r="K6" s="636"/>
      <c r="L6" s="636"/>
      <c r="M6" s="636"/>
      <c r="N6" s="637"/>
      <c r="O6" s="646" t="s">
        <v>244</v>
      </c>
      <c r="P6" s="647"/>
      <c r="Q6" s="647"/>
      <c r="R6" s="648"/>
    </row>
    <row r="7" spans="1:18" ht="29.25" customHeight="1">
      <c r="A7" s="633"/>
      <c r="B7" s="634"/>
      <c r="C7" s="639"/>
      <c r="D7" s="639"/>
      <c r="E7" s="639"/>
      <c r="F7" s="639"/>
      <c r="G7" s="635" t="s">
        <v>245</v>
      </c>
      <c r="H7" s="636"/>
      <c r="I7" s="636"/>
      <c r="J7" s="637"/>
      <c r="K7" s="635" t="s">
        <v>88</v>
      </c>
      <c r="L7" s="636"/>
      <c r="M7" s="636"/>
      <c r="N7" s="637"/>
      <c r="O7" s="45" t="s">
        <v>246</v>
      </c>
      <c r="P7" s="45" t="s">
        <v>247</v>
      </c>
      <c r="Q7" s="649" t="s">
        <v>248</v>
      </c>
      <c r="R7" s="649" t="s">
        <v>249</v>
      </c>
    </row>
    <row r="8" spans="1:18" ht="26.25" customHeight="1">
      <c r="A8" s="633"/>
      <c r="B8" s="634"/>
      <c r="C8" s="618" t="s">
        <v>85</v>
      </c>
      <c r="D8" s="619"/>
      <c r="E8" s="618" t="s">
        <v>84</v>
      </c>
      <c r="F8" s="619"/>
      <c r="G8" s="618" t="s">
        <v>86</v>
      </c>
      <c r="H8" s="620"/>
      <c r="I8" s="618" t="s">
        <v>87</v>
      </c>
      <c r="J8" s="620"/>
      <c r="K8" s="618" t="s">
        <v>89</v>
      </c>
      <c r="L8" s="620"/>
      <c r="M8" s="618" t="s">
        <v>90</v>
      </c>
      <c r="N8" s="620"/>
      <c r="O8" s="651" t="s">
        <v>250</v>
      </c>
      <c r="P8" s="652" t="s">
        <v>251</v>
      </c>
      <c r="Q8" s="649"/>
      <c r="R8" s="649"/>
    </row>
    <row r="9" spans="1:18" ht="30.75" customHeight="1">
      <c r="A9" s="633"/>
      <c r="B9" s="634"/>
      <c r="C9" s="46" t="s">
        <v>3</v>
      </c>
      <c r="D9" s="44" t="s">
        <v>9</v>
      </c>
      <c r="E9" s="44" t="s">
        <v>3</v>
      </c>
      <c r="F9" s="44" t="s">
        <v>9</v>
      </c>
      <c r="G9" s="47" t="s">
        <v>3</v>
      </c>
      <c r="H9" s="47" t="s">
        <v>9</v>
      </c>
      <c r="I9" s="47" t="s">
        <v>3</v>
      </c>
      <c r="J9" s="47" t="s">
        <v>9</v>
      </c>
      <c r="K9" s="47" t="s">
        <v>3</v>
      </c>
      <c r="L9" s="47" t="s">
        <v>9</v>
      </c>
      <c r="M9" s="47" t="s">
        <v>3</v>
      </c>
      <c r="N9" s="47" t="s">
        <v>9</v>
      </c>
      <c r="O9" s="651"/>
      <c r="P9" s="653"/>
      <c r="Q9" s="650"/>
      <c r="R9" s="650"/>
    </row>
    <row r="10" spans="1:18" s="52" customFormat="1" ht="18" customHeight="1">
      <c r="A10" s="630" t="s">
        <v>6</v>
      </c>
      <c r="B10" s="630"/>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26" t="s">
        <v>252</v>
      </c>
      <c r="B11" s="627"/>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28" t="s">
        <v>356</v>
      </c>
      <c r="B12" s="629"/>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23" t="s">
        <v>31</v>
      </c>
      <c r="B13" s="624"/>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25" t="s">
        <v>357</v>
      </c>
      <c r="C28" s="625"/>
      <c r="D28" s="625"/>
      <c r="E28" s="625"/>
      <c r="F28" s="75"/>
      <c r="G28" s="76"/>
      <c r="H28" s="76"/>
      <c r="I28" s="76"/>
      <c r="J28" s="625" t="s">
        <v>358</v>
      </c>
      <c r="K28" s="625"/>
      <c r="L28" s="625"/>
      <c r="M28" s="625"/>
      <c r="N28" s="625"/>
      <c r="O28" s="77"/>
      <c r="P28" s="77"/>
      <c r="AG28" s="78" t="s">
        <v>273</v>
      </c>
      <c r="AI28" s="79">
        <f>82/88</f>
        <v>0.9318181818181818</v>
      </c>
    </row>
    <row r="29" spans="1:16" s="85" customFormat="1" ht="19.5" customHeight="1">
      <c r="A29" s="80"/>
      <c r="B29" s="617" t="s">
        <v>35</v>
      </c>
      <c r="C29" s="617"/>
      <c r="D29" s="617"/>
      <c r="E29" s="617"/>
      <c r="F29" s="82"/>
      <c r="G29" s="83"/>
      <c r="H29" s="83"/>
      <c r="I29" s="83"/>
      <c r="J29" s="617" t="s">
        <v>274</v>
      </c>
      <c r="K29" s="617"/>
      <c r="L29" s="617"/>
      <c r="M29" s="617"/>
      <c r="N29" s="617"/>
      <c r="O29" s="84"/>
      <c r="P29" s="84"/>
    </row>
    <row r="30" spans="1:16" s="85" customFormat="1" ht="19.5" customHeight="1">
      <c r="A30" s="80"/>
      <c r="B30" s="621"/>
      <c r="C30" s="621"/>
      <c r="D30" s="621"/>
      <c r="E30" s="82"/>
      <c r="F30" s="82"/>
      <c r="G30" s="83"/>
      <c r="H30" s="83"/>
      <c r="I30" s="83"/>
      <c r="J30" s="622"/>
      <c r="K30" s="622"/>
      <c r="L30" s="622"/>
      <c r="M30" s="622"/>
      <c r="N30" s="622"/>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55" t="s">
        <v>275</v>
      </c>
      <c r="C32" s="655"/>
      <c r="D32" s="655"/>
      <c r="E32" s="655"/>
      <c r="F32" s="87"/>
      <c r="G32" s="88"/>
      <c r="H32" s="88"/>
      <c r="I32" s="88"/>
      <c r="J32" s="654" t="s">
        <v>275</v>
      </c>
      <c r="K32" s="654"/>
      <c r="L32" s="654"/>
      <c r="M32" s="654"/>
      <c r="N32" s="654"/>
      <c r="O32" s="84"/>
      <c r="P32" s="84"/>
    </row>
    <row r="33" spans="1:16" s="85" customFormat="1" ht="19.5" customHeight="1">
      <c r="A33" s="80"/>
      <c r="B33" s="617" t="s">
        <v>276</v>
      </c>
      <c r="C33" s="617"/>
      <c r="D33" s="617"/>
      <c r="E33" s="617"/>
      <c r="F33" s="82"/>
      <c r="G33" s="83"/>
      <c r="H33" s="83"/>
      <c r="I33" s="83"/>
      <c r="J33" s="81"/>
      <c r="K33" s="617" t="s">
        <v>276</v>
      </c>
      <c r="L33" s="617"/>
      <c r="M33" s="61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15" t="s">
        <v>229</v>
      </c>
      <c r="C36" s="615"/>
      <c r="D36" s="615"/>
      <c r="E36" s="615"/>
      <c r="F36" s="91"/>
      <c r="G36" s="91"/>
      <c r="H36" s="91"/>
      <c r="I36" s="91"/>
      <c r="J36" s="616" t="s">
        <v>230</v>
      </c>
      <c r="K36" s="616"/>
      <c r="L36" s="616"/>
      <c r="M36" s="616"/>
      <c r="N36" s="616"/>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L2:N2"/>
    <mergeCell ref="L3:N3"/>
    <mergeCell ref="G7:J7"/>
    <mergeCell ref="K8:L8"/>
    <mergeCell ref="J28:N28"/>
    <mergeCell ref="J29:N29"/>
    <mergeCell ref="L4:N4"/>
    <mergeCell ref="O6:R6"/>
    <mergeCell ref="R7:R9"/>
    <mergeCell ref="Q7:Q9"/>
    <mergeCell ref="O8:O9"/>
    <mergeCell ref="P8:P9"/>
    <mergeCell ref="D5:K5"/>
    <mergeCell ref="C6:F7"/>
    <mergeCell ref="A4:D4"/>
    <mergeCell ref="E1:K2"/>
    <mergeCell ref="A1:D1"/>
    <mergeCell ref="E3:J3"/>
    <mergeCell ref="A3:D3"/>
    <mergeCell ref="A2:D2"/>
    <mergeCell ref="A11:B11"/>
    <mergeCell ref="A12:B12"/>
    <mergeCell ref="A10:B10"/>
    <mergeCell ref="A6:B9"/>
    <mergeCell ref="G6:N6"/>
    <mergeCell ref="I8:J8"/>
    <mergeCell ref="M8:N8"/>
    <mergeCell ref="K7:N7"/>
    <mergeCell ref="B36:E36"/>
    <mergeCell ref="J36:N36"/>
    <mergeCell ref="B29:E29"/>
    <mergeCell ref="E8:F8"/>
    <mergeCell ref="G8:H8"/>
    <mergeCell ref="C8:D8"/>
    <mergeCell ref="B30:D30"/>
    <mergeCell ref="J30:N30"/>
    <mergeCell ref="A13:B13"/>
    <mergeCell ref="B28:E2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92" t="s">
        <v>26</v>
      </c>
      <c r="B1" s="692"/>
      <c r="C1" s="98"/>
      <c r="D1" s="695" t="s">
        <v>336</v>
      </c>
      <c r="E1" s="695"/>
      <c r="F1" s="695"/>
      <c r="G1" s="695"/>
      <c r="H1" s="695"/>
      <c r="I1" s="695"/>
      <c r="J1" s="695"/>
      <c r="K1" s="695"/>
      <c r="L1" s="695"/>
      <c r="M1" s="666" t="s">
        <v>277</v>
      </c>
      <c r="N1" s="667"/>
      <c r="O1" s="667"/>
      <c r="P1" s="667"/>
    </row>
    <row r="2" spans="1:16" s="42" customFormat="1" ht="34.5" customHeight="1">
      <c r="A2" s="694" t="s">
        <v>278</v>
      </c>
      <c r="B2" s="694"/>
      <c r="C2" s="694"/>
      <c r="D2" s="695"/>
      <c r="E2" s="695"/>
      <c r="F2" s="695"/>
      <c r="G2" s="695"/>
      <c r="H2" s="695"/>
      <c r="I2" s="695"/>
      <c r="J2" s="695"/>
      <c r="K2" s="695"/>
      <c r="L2" s="695"/>
      <c r="M2" s="668" t="s">
        <v>337</v>
      </c>
      <c r="N2" s="669"/>
      <c r="O2" s="669"/>
      <c r="P2" s="669"/>
    </row>
    <row r="3" spans="1:16" s="42" customFormat="1" ht="19.5" customHeight="1">
      <c r="A3" s="693" t="s">
        <v>279</v>
      </c>
      <c r="B3" s="693"/>
      <c r="C3" s="693"/>
      <c r="D3" s="695"/>
      <c r="E3" s="695"/>
      <c r="F3" s="695"/>
      <c r="G3" s="695"/>
      <c r="H3" s="695"/>
      <c r="I3" s="695"/>
      <c r="J3" s="695"/>
      <c r="K3" s="695"/>
      <c r="L3" s="695"/>
      <c r="M3" s="668" t="s">
        <v>280</v>
      </c>
      <c r="N3" s="669"/>
      <c r="O3" s="669"/>
      <c r="P3" s="669"/>
    </row>
    <row r="4" spans="1:16" s="103" customFormat="1" ht="18.75" customHeight="1">
      <c r="A4" s="99"/>
      <c r="B4" s="99"/>
      <c r="C4" s="100"/>
      <c r="D4" s="638"/>
      <c r="E4" s="638"/>
      <c r="F4" s="638"/>
      <c r="G4" s="638"/>
      <c r="H4" s="638"/>
      <c r="I4" s="638"/>
      <c r="J4" s="638"/>
      <c r="K4" s="638"/>
      <c r="L4" s="638"/>
      <c r="M4" s="101" t="s">
        <v>281</v>
      </c>
      <c r="N4" s="102"/>
      <c r="O4" s="102"/>
      <c r="P4" s="102"/>
    </row>
    <row r="5" spans="1:16" ht="49.5" customHeight="1">
      <c r="A5" s="681" t="s">
        <v>53</v>
      </c>
      <c r="B5" s="682"/>
      <c r="C5" s="687" t="s">
        <v>78</v>
      </c>
      <c r="D5" s="672"/>
      <c r="E5" s="672"/>
      <c r="F5" s="672"/>
      <c r="G5" s="672"/>
      <c r="H5" s="672"/>
      <c r="I5" s="672"/>
      <c r="J5" s="672"/>
      <c r="K5" s="670" t="s">
        <v>77</v>
      </c>
      <c r="L5" s="670"/>
      <c r="M5" s="670"/>
      <c r="N5" s="670"/>
      <c r="O5" s="670"/>
      <c r="P5" s="670"/>
    </row>
    <row r="6" spans="1:16" ht="20.25" customHeight="1">
      <c r="A6" s="683"/>
      <c r="B6" s="684"/>
      <c r="C6" s="687" t="s">
        <v>3</v>
      </c>
      <c r="D6" s="672"/>
      <c r="E6" s="672"/>
      <c r="F6" s="673"/>
      <c r="G6" s="670" t="s">
        <v>9</v>
      </c>
      <c r="H6" s="670"/>
      <c r="I6" s="670"/>
      <c r="J6" s="670"/>
      <c r="K6" s="671" t="s">
        <v>3</v>
      </c>
      <c r="L6" s="671"/>
      <c r="M6" s="671"/>
      <c r="N6" s="676" t="s">
        <v>9</v>
      </c>
      <c r="O6" s="676"/>
      <c r="P6" s="676"/>
    </row>
    <row r="7" spans="1:16" ht="52.5" customHeight="1">
      <c r="A7" s="683"/>
      <c r="B7" s="684"/>
      <c r="C7" s="688" t="s">
        <v>282</v>
      </c>
      <c r="D7" s="672" t="s">
        <v>74</v>
      </c>
      <c r="E7" s="672"/>
      <c r="F7" s="673"/>
      <c r="G7" s="670" t="s">
        <v>283</v>
      </c>
      <c r="H7" s="670" t="s">
        <v>74</v>
      </c>
      <c r="I7" s="670"/>
      <c r="J7" s="670"/>
      <c r="K7" s="670" t="s">
        <v>32</v>
      </c>
      <c r="L7" s="670" t="s">
        <v>75</v>
      </c>
      <c r="M7" s="670"/>
      <c r="N7" s="670" t="s">
        <v>60</v>
      </c>
      <c r="O7" s="670" t="s">
        <v>75</v>
      </c>
      <c r="P7" s="670"/>
    </row>
    <row r="8" spans="1:16" ht="15.75" customHeight="1">
      <c r="A8" s="683"/>
      <c r="B8" s="684"/>
      <c r="C8" s="688"/>
      <c r="D8" s="670" t="s">
        <v>36</v>
      </c>
      <c r="E8" s="670" t="s">
        <v>37</v>
      </c>
      <c r="F8" s="670" t="s">
        <v>40</v>
      </c>
      <c r="G8" s="670"/>
      <c r="H8" s="670" t="s">
        <v>36</v>
      </c>
      <c r="I8" s="670" t="s">
        <v>37</v>
      </c>
      <c r="J8" s="670" t="s">
        <v>40</v>
      </c>
      <c r="K8" s="670"/>
      <c r="L8" s="670" t="s">
        <v>14</v>
      </c>
      <c r="M8" s="670" t="s">
        <v>13</v>
      </c>
      <c r="N8" s="670"/>
      <c r="O8" s="670" t="s">
        <v>14</v>
      </c>
      <c r="P8" s="670" t="s">
        <v>13</v>
      </c>
    </row>
    <row r="9" spans="1:16" ht="44.25" customHeight="1">
      <c r="A9" s="685"/>
      <c r="B9" s="686"/>
      <c r="C9" s="689"/>
      <c r="D9" s="670"/>
      <c r="E9" s="670"/>
      <c r="F9" s="670"/>
      <c r="G9" s="670"/>
      <c r="H9" s="670"/>
      <c r="I9" s="670"/>
      <c r="J9" s="670"/>
      <c r="K9" s="670"/>
      <c r="L9" s="670"/>
      <c r="M9" s="670"/>
      <c r="N9" s="670"/>
      <c r="O9" s="670"/>
      <c r="P9" s="670"/>
    </row>
    <row r="10" spans="1:16" ht="15" customHeight="1">
      <c r="A10" s="679" t="s">
        <v>6</v>
      </c>
      <c r="B10" s="680"/>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90" t="s">
        <v>284</v>
      </c>
      <c r="B11" s="691"/>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74" t="s">
        <v>285</v>
      </c>
      <c r="B12" s="675"/>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77" t="s">
        <v>33</v>
      </c>
      <c r="B13" s="678"/>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62" t="s">
        <v>338</v>
      </c>
      <c r="C28" s="663"/>
      <c r="D28" s="663"/>
      <c r="E28" s="663"/>
      <c r="F28" s="123"/>
      <c r="G28" s="123"/>
      <c r="H28" s="123"/>
      <c r="I28" s="123"/>
      <c r="J28" s="123"/>
      <c r="K28" s="657" t="s">
        <v>339</v>
      </c>
      <c r="L28" s="657"/>
      <c r="M28" s="657"/>
      <c r="N28" s="657"/>
      <c r="O28" s="657"/>
      <c r="P28" s="657"/>
      <c r="AG28" s="73" t="s">
        <v>273</v>
      </c>
      <c r="AI28" s="113">
        <f>82/88</f>
        <v>0.9318181818181818</v>
      </c>
    </row>
    <row r="29" spans="2:16" ht="16.5">
      <c r="B29" s="663"/>
      <c r="C29" s="663"/>
      <c r="D29" s="663"/>
      <c r="E29" s="663"/>
      <c r="F29" s="123"/>
      <c r="G29" s="123"/>
      <c r="H29" s="123"/>
      <c r="I29" s="123"/>
      <c r="J29" s="123"/>
      <c r="K29" s="657"/>
      <c r="L29" s="657"/>
      <c r="M29" s="657"/>
      <c r="N29" s="657"/>
      <c r="O29" s="657"/>
      <c r="P29" s="657"/>
    </row>
    <row r="30" spans="2:16" ht="21" customHeight="1">
      <c r="B30" s="663"/>
      <c r="C30" s="663"/>
      <c r="D30" s="663"/>
      <c r="E30" s="663"/>
      <c r="F30" s="123"/>
      <c r="G30" s="123"/>
      <c r="H30" s="123"/>
      <c r="I30" s="123"/>
      <c r="J30" s="123"/>
      <c r="K30" s="657"/>
      <c r="L30" s="657"/>
      <c r="M30" s="657"/>
      <c r="N30" s="657"/>
      <c r="O30" s="657"/>
      <c r="P30" s="657"/>
    </row>
    <row r="32" spans="2:16" ht="16.5" customHeight="1">
      <c r="B32" s="665" t="s">
        <v>276</v>
      </c>
      <c r="C32" s="665"/>
      <c r="D32" s="665"/>
      <c r="E32" s="124"/>
      <c r="F32" s="124"/>
      <c r="G32" s="124"/>
      <c r="H32" s="124"/>
      <c r="I32" s="124"/>
      <c r="J32" s="124"/>
      <c r="K32" s="664" t="s">
        <v>340</v>
      </c>
      <c r="L32" s="664"/>
      <c r="M32" s="664"/>
      <c r="N32" s="664"/>
      <c r="O32" s="664"/>
      <c r="P32" s="664"/>
    </row>
    <row r="33" ht="12.75" customHeight="1"/>
    <row r="34" spans="2:5" ht="15.75">
      <c r="B34" s="125"/>
      <c r="C34" s="125"/>
      <c r="D34" s="125"/>
      <c r="E34" s="125"/>
    </row>
    <row r="35" ht="15.75" hidden="1"/>
    <row r="36" spans="2:16" ht="15.75">
      <c r="B36" s="660" t="s">
        <v>229</v>
      </c>
      <c r="C36" s="660"/>
      <c r="D36" s="660"/>
      <c r="E36" s="660"/>
      <c r="F36" s="126"/>
      <c r="G36" s="126"/>
      <c r="H36" s="126"/>
      <c r="I36" s="126"/>
      <c r="K36" s="661" t="s">
        <v>230</v>
      </c>
      <c r="L36" s="661"/>
      <c r="M36" s="661"/>
      <c r="N36" s="661"/>
      <c r="O36" s="661"/>
      <c r="P36" s="661"/>
    </row>
    <row r="39" ht="15.75">
      <c r="A39" s="128" t="s">
        <v>41</v>
      </c>
    </row>
    <row r="40" spans="1:6" ht="15.75">
      <c r="A40" s="129"/>
      <c r="B40" s="130" t="s">
        <v>46</v>
      </c>
      <c r="C40" s="130"/>
      <c r="D40" s="130"/>
      <c r="E40" s="130"/>
      <c r="F40" s="130"/>
    </row>
    <row r="41" spans="1:14" ht="15.75" customHeight="1">
      <c r="A41" s="131" t="s">
        <v>25</v>
      </c>
      <c r="B41" s="659" t="s">
        <v>49</v>
      </c>
      <c r="C41" s="659"/>
      <c r="D41" s="659"/>
      <c r="E41" s="659"/>
      <c r="F41" s="659"/>
      <c r="G41" s="131"/>
      <c r="H41" s="131"/>
      <c r="I41" s="131"/>
      <c r="J41" s="131"/>
      <c r="K41" s="131"/>
      <c r="L41" s="131"/>
      <c r="M41" s="131"/>
      <c r="N41" s="131"/>
    </row>
    <row r="42" spans="1:14" ht="15" customHeight="1">
      <c r="A42" s="131"/>
      <c r="B42" s="658" t="s">
        <v>50</v>
      </c>
      <c r="C42" s="658"/>
      <c r="D42" s="658"/>
      <c r="E42" s="658"/>
      <c r="F42" s="658"/>
      <c r="G42" s="658"/>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42" t="s">
        <v>95</v>
      </c>
      <c r="B1" s="642"/>
      <c r="C1" s="642"/>
      <c r="D1" s="721" t="s">
        <v>341</v>
      </c>
      <c r="E1" s="721"/>
      <c r="F1" s="721"/>
      <c r="G1" s="721"/>
      <c r="H1" s="721"/>
      <c r="I1" s="721"/>
      <c r="J1" s="722" t="s">
        <v>342</v>
      </c>
      <c r="K1" s="696"/>
      <c r="L1" s="696"/>
    </row>
    <row r="2" spans="1:13" ht="15.75" customHeight="1">
      <c r="A2" s="720" t="s">
        <v>287</v>
      </c>
      <c r="B2" s="720"/>
      <c r="C2" s="720"/>
      <c r="D2" s="721"/>
      <c r="E2" s="721"/>
      <c r="F2" s="721"/>
      <c r="G2" s="721"/>
      <c r="H2" s="721"/>
      <c r="I2" s="721"/>
      <c r="J2" s="696" t="s">
        <v>288</v>
      </c>
      <c r="K2" s="696"/>
      <c r="L2" s="696"/>
      <c r="M2" s="133"/>
    </row>
    <row r="3" spans="1:13" ht="15.75" customHeight="1">
      <c r="A3" s="644" t="s">
        <v>239</v>
      </c>
      <c r="B3" s="644"/>
      <c r="C3" s="644"/>
      <c r="D3" s="721"/>
      <c r="E3" s="721"/>
      <c r="F3" s="721"/>
      <c r="G3" s="721"/>
      <c r="H3" s="721"/>
      <c r="I3" s="721"/>
      <c r="J3" s="722" t="s">
        <v>343</v>
      </c>
      <c r="K3" s="722"/>
      <c r="L3" s="722"/>
      <c r="M3" s="37"/>
    </row>
    <row r="4" spans="1:13" ht="15.75" customHeight="1">
      <c r="A4" s="709" t="s">
        <v>241</v>
      </c>
      <c r="B4" s="709"/>
      <c r="C4" s="709"/>
      <c r="D4" s="708"/>
      <c r="E4" s="708"/>
      <c r="F4" s="708"/>
      <c r="G4" s="708"/>
      <c r="H4" s="708"/>
      <c r="I4" s="708"/>
      <c r="J4" s="696" t="s">
        <v>289</v>
      </c>
      <c r="K4" s="696"/>
      <c r="L4" s="696"/>
      <c r="M4" s="133"/>
    </row>
    <row r="5" spans="1:13" ht="15.75">
      <c r="A5" s="134"/>
      <c r="B5" s="134"/>
      <c r="C5" s="34"/>
      <c r="D5" s="34"/>
      <c r="E5" s="34"/>
      <c r="F5" s="34"/>
      <c r="G5" s="34"/>
      <c r="H5" s="34"/>
      <c r="I5" s="34"/>
      <c r="J5" s="707" t="s">
        <v>8</v>
      </c>
      <c r="K5" s="707"/>
      <c r="L5" s="707"/>
      <c r="M5" s="133"/>
    </row>
    <row r="6" spans="1:14" ht="15.75">
      <c r="A6" s="697" t="s">
        <v>53</v>
      </c>
      <c r="B6" s="698"/>
      <c r="C6" s="670" t="s">
        <v>290</v>
      </c>
      <c r="D6" s="724" t="s">
        <v>291</v>
      </c>
      <c r="E6" s="724"/>
      <c r="F6" s="724"/>
      <c r="G6" s="724"/>
      <c r="H6" s="724"/>
      <c r="I6" s="724"/>
      <c r="J6" s="639" t="s">
        <v>93</v>
      </c>
      <c r="K6" s="639"/>
      <c r="L6" s="639"/>
      <c r="M6" s="725" t="s">
        <v>292</v>
      </c>
      <c r="N6" s="723" t="s">
        <v>293</v>
      </c>
    </row>
    <row r="7" spans="1:14" ht="15.75" customHeight="1">
      <c r="A7" s="699"/>
      <c r="B7" s="700"/>
      <c r="C7" s="670"/>
      <c r="D7" s="724" t="s">
        <v>7</v>
      </c>
      <c r="E7" s="724"/>
      <c r="F7" s="724"/>
      <c r="G7" s="724"/>
      <c r="H7" s="724"/>
      <c r="I7" s="724"/>
      <c r="J7" s="639"/>
      <c r="K7" s="639"/>
      <c r="L7" s="639"/>
      <c r="M7" s="725"/>
      <c r="N7" s="723"/>
    </row>
    <row r="8" spans="1:14" s="73" customFormat="1" ht="31.5" customHeight="1">
      <c r="A8" s="699"/>
      <c r="B8" s="700"/>
      <c r="C8" s="670"/>
      <c r="D8" s="639" t="s">
        <v>91</v>
      </c>
      <c r="E8" s="639" t="s">
        <v>92</v>
      </c>
      <c r="F8" s="639"/>
      <c r="G8" s="639"/>
      <c r="H8" s="639"/>
      <c r="I8" s="639"/>
      <c r="J8" s="639"/>
      <c r="K8" s="639"/>
      <c r="L8" s="639"/>
      <c r="M8" s="725"/>
      <c r="N8" s="723"/>
    </row>
    <row r="9" spans="1:14" s="73" customFormat="1" ht="15.75" customHeight="1">
      <c r="A9" s="699"/>
      <c r="B9" s="700"/>
      <c r="C9" s="670"/>
      <c r="D9" s="639"/>
      <c r="E9" s="639" t="s">
        <v>94</v>
      </c>
      <c r="F9" s="639" t="s">
        <v>7</v>
      </c>
      <c r="G9" s="639"/>
      <c r="H9" s="639"/>
      <c r="I9" s="639"/>
      <c r="J9" s="639" t="s">
        <v>7</v>
      </c>
      <c r="K9" s="639"/>
      <c r="L9" s="639"/>
      <c r="M9" s="725"/>
      <c r="N9" s="723"/>
    </row>
    <row r="10" spans="1:14" s="73" customFormat="1" ht="86.25" customHeight="1">
      <c r="A10" s="701"/>
      <c r="B10" s="702"/>
      <c r="C10" s="670"/>
      <c r="D10" s="639"/>
      <c r="E10" s="639"/>
      <c r="F10" s="104" t="s">
        <v>22</v>
      </c>
      <c r="G10" s="104" t="s">
        <v>24</v>
      </c>
      <c r="H10" s="104" t="s">
        <v>16</v>
      </c>
      <c r="I10" s="104" t="s">
        <v>23</v>
      </c>
      <c r="J10" s="104" t="s">
        <v>15</v>
      </c>
      <c r="K10" s="104" t="s">
        <v>20</v>
      </c>
      <c r="L10" s="104" t="s">
        <v>21</v>
      </c>
      <c r="M10" s="725"/>
      <c r="N10" s="723"/>
    </row>
    <row r="11" spans="1:32" ht="13.5" customHeight="1">
      <c r="A11" s="714" t="s">
        <v>5</v>
      </c>
      <c r="B11" s="715"/>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703" t="s">
        <v>284</v>
      </c>
      <c r="B12" s="704"/>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17" t="s">
        <v>240</v>
      </c>
      <c r="B13" s="718"/>
      <c r="C13" s="139">
        <v>59</v>
      </c>
      <c r="D13" s="139">
        <v>43</v>
      </c>
      <c r="E13" s="139">
        <v>0</v>
      </c>
      <c r="F13" s="139">
        <v>5</v>
      </c>
      <c r="G13" s="139">
        <v>2</v>
      </c>
      <c r="H13" s="139">
        <v>7</v>
      </c>
      <c r="I13" s="139">
        <v>2</v>
      </c>
      <c r="J13" s="139">
        <v>10</v>
      </c>
      <c r="K13" s="139">
        <v>44</v>
      </c>
      <c r="L13" s="139">
        <v>5</v>
      </c>
      <c r="M13" s="136"/>
      <c r="N13" s="137"/>
    </row>
    <row r="14" spans="1:37" s="52" customFormat="1" ht="16.5" customHeight="1">
      <c r="A14" s="712" t="s">
        <v>30</v>
      </c>
      <c r="B14" s="713"/>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25" t="s">
        <v>344</v>
      </c>
      <c r="B29" s="716"/>
      <c r="C29" s="716"/>
      <c r="D29" s="716"/>
      <c r="E29" s="158"/>
      <c r="F29" s="158"/>
      <c r="G29" s="158"/>
      <c r="H29" s="705" t="s">
        <v>294</v>
      </c>
      <c r="I29" s="705"/>
      <c r="J29" s="705"/>
      <c r="K29" s="705"/>
      <c r="L29" s="705"/>
      <c r="M29" s="159"/>
    </row>
    <row r="30" spans="1:12" ht="18.75">
      <c r="A30" s="716"/>
      <c r="B30" s="716"/>
      <c r="C30" s="716"/>
      <c r="D30" s="716"/>
      <c r="E30" s="158"/>
      <c r="F30" s="158"/>
      <c r="G30" s="158"/>
      <c r="H30" s="706" t="s">
        <v>295</v>
      </c>
      <c r="I30" s="706"/>
      <c r="J30" s="706"/>
      <c r="K30" s="706"/>
      <c r="L30" s="706"/>
    </row>
    <row r="31" spans="1:12" s="32" customFormat="1" ht="16.5" customHeight="1">
      <c r="A31" s="621"/>
      <c r="B31" s="621"/>
      <c r="C31" s="621"/>
      <c r="D31" s="621"/>
      <c r="E31" s="160"/>
      <c r="F31" s="160"/>
      <c r="G31" s="160"/>
      <c r="H31" s="622"/>
      <c r="I31" s="622"/>
      <c r="J31" s="622"/>
      <c r="K31" s="622"/>
      <c r="L31" s="622"/>
    </row>
    <row r="32" spans="1:12" ht="18.75">
      <c r="A32" s="89"/>
      <c r="B32" s="621" t="s">
        <v>276</v>
      </c>
      <c r="C32" s="621"/>
      <c r="D32" s="621"/>
      <c r="E32" s="160"/>
      <c r="F32" s="160"/>
      <c r="G32" s="160"/>
      <c r="H32" s="160"/>
      <c r="I32" s="719" t="s">
        <v>276</v>
      </c>
      <c r="J32" s="719"/>
      <c r="K32" s="719"/>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15" t="s">
        <v>229</v>
      </c>
      <c r="B37" s="615"/>
      <c r="C37" s="615"/>
      <c r="D37" s="615"/>
      <c r="E37" s="91"/>
      <c r="F37" s="91"/>
      <c r="G37" s="91"/>
      <c r="H37" s="616" t="s">
        <v>229</v>
      </c>
      <c r="I37" s="616"/>
      <c r="J37" s="616"/>
      <c r="K37" s="616"/>
      <c r="L37" s="616"/>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11" t="s">
        <v>46</v>
      </c>
      <c r="C40" s="711"/>
      <c r="D40" s="711"/>
      <c r="E40" s="711"/>
      <c r="F40" s="711"/>
      <c r="G40" s="711"/>
      <c r="H40" s="711"/>
      <c r="I40" s="711"/>
      <c r="J40" s="711"/>
      <c r="K40" s="711"/>
      <c r="L40" s="711"/>
    </row>
    <row r="41" spans="1:12" ht="16.5" customHeight="1">
      <c r="A41" s="165"/>
      <c r="B41" s="710" t="s">
        <v>48</v>
      </c>
      <c r="C41" s="710"/>
      <c r="D41" s="710"/>
      <c r="E41" s="710"/>
      <c r="F41" s="710"/>
      <c r="G41" s="710"/>
      <c r="H41" s="710"/>
      <c r="I41" s="710"/>
      <c r="J41" s="710"/>
      <c r="K41" s="710"/>
      <c r="L41" s="710"/>
    </row>
    <row r="42" ht="15.75">
      <c r="B42" s="38" t="s">
        <v>47</v>
      </c>
    </row>
  </sheetData>
  <sheetProtection/>
  <mergeCells count="38">
    <mergeCell ref="N6:N10"/>
    <mergeCell ref="C6:C10"/>
    <mergeCell ref="E9:E10"/>
    <mergeCell ref="D6:I6"/>
    <mergeCell ref="E8:I8"/>
    <mergeCell ref="J6:L8"/>
    <mergeCell ref="D7:I7"/>
    <mergeCell ref="M6:M10"/>
    <mergeCell ref="B32:D32"/>
    <mergeCell ref="A13:B13"/>
    <mergeCell ref="I32:K32"/>
    <mergeCell ref="A1:C1"/>
    <mergeCell ref="A2:C2"/>
    <mergeCell ref="A3:C3"/>
    <mergeCell ref="D1:I3"/>
    <mergeCell ref="J1:L1"/>
    <mergeCell ref="J2:L2"/>
    <mergeCell ref="J3:L3"/>
    <mergeCell ref="A4:C4"/>
    <mergeCell ref="D8:D10"/>
    <mergeCell ref="F9:I9"/>
    <mergeCell ref="B41:L41"/>
    <mergeCell ref="B40:L40"/>
    <mergeCell ref="A14:B14"/>
    <mergeCell ref="A11:B11"/>
    <mergeCell ref="A29:D30"/>
    <mergeCell ref="H37:L37"/>
    <mergeCell ref="A37:D37"/>
    <mergeCell ref="J4:L4"/>
    <mergeCell ref="A6:B10"/>
    <mergeCell ref="A12:B12"/>
    <mergeCell ref="A31:D31"/>
    <mergeCell ref="H29:L29"/>
    <mergeCell ref="H30:L30"/>
    <mergeCell ref="H31:L31"/>
    <mergeCell ref="J5:L5"/>
    <mergeCell ref="D4:I4"/>
    <mergeCell ref="J9:L9"/>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60" t="s">
        <v>117</v>
      </c>
      <c r="B1" s="760"/>
      <c r="C1" s="760"/>
      <c r="D1" s="756" t="s">
        <v>298</v>
      </c>
      <c r="E1" s="757"/>
      <c r="F1" s="757"/>
      <c r="G1" s="757"/>
      <c r="H1" s="757"/>
      <c r="I1" s="757"/>
      <c r="J1" s="757"/>
      <c r="K1" s="757"/>
      <c r="L1" s="757"/>
      <c r="M1" s="757"/>
      <c r="N1" s="757"/>
      <c r="O1" s="212"/>
      <c r="P1" s="169" t="s">
        <v>348</v>
      </c>
      <c r="Q1" s="168"/>
      <c r="R1" s="168"/>
      <c r="S1" s="168"/>
      <c r="T1" s="168"/>
      <c r="U1" s="212"/>
    </row>
    <row r="2" spans="1:21" ht="16.5" customHeight="1">
      <c r="A2" s="758" t="s">
        <v>299</v>
      </c>
      <c r="B2" s="758"/>
      <c r="C2" s="758"/>
      <c r="D2" s="757"/>
      <c r="E2" s="757"/>
      <c r="F2" s="757"/>
      <c r="G2" s="757"/>
      <c r="H2" s="757"/>
      <c r="I2" s="757"/>
      <c r="J2" s="757"/>
      <c r="K2" s="757"/>
      <c r="L2" s="757"/>
      <c r="M2" s="757"/>
      <c r="N2" s="757"/>
      <c r="O2" s="213"/>
      <c r="P2" s="749" t="s">
        <v>300</v>
      </c>
      <c r="Q2" s="749"/>
      <c r="R2" s="749"/>
      <c r="S2" s="749"/>
      <c r="T2" s="749"/>
      <c r="U2" s="213"/>
    </row>
    <row r="3" spans="1:21" ht="16.5" customHeight="1">
      <c r="A3" s="729" t="s">
        <v>301</v>
      </c>
      <c r="B3" s="729"/>
      <c r="C3" s="729"/>
      <c r="D3" s="761" t="s">
        <v>302</v>
      </c>
      <c r="E3" s="761"/>
      <c r="F3" s="761"/>
      <c r="G3" s="761"/>
      <c r="H3" s="761"/>
      <c r="I3" s="761"/>
      <c r="J3" s="761"/>
      <c r="K3" s="761"/>
      <c r="L3" s="761"/>
      <c r="M3" s="761"/>
      <c r="N3" s="761"/>
      <c r="O3" s="213"/>
      <c r="P3" s="173" t="s">
        <v>347</v>
      </c>
      <c r="Q3" s="213"/>
      <c r="R3" s="213"/>
      <c r="S3" s="213"/>
      <c r="T3" s="213"/>
      <c r="U3" s="213"/>
    </row>
    <row r="4" spans="1:21" ht="16.5" customHeight="1">
      <c r="A4" s="762" t="s">
        <v>241</v>
      </c>
      <c r="B4" s="762"/>
      <c r="C4" s="762"/>
      <c r="D4" s="738"/>
      <c r="E4" s="738"/>
      <c r="F4" s="738"/>
      <c r="G4" s="738"/>
      <c r="H4" s="738"/>
      <c r="I4" s="738"/>
      <c r="J4" s="738"/>
      <c r="K4" s="738"/>
      <c r="L4" s="738"/>
      <c r="M4" s="738"/>
      <c r="N4" s="738"/>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50" t="s">
        <v>53</v>
      </c>
      <c r="B6" s="751"/>
      <c r="C6" s="734" t="s">
        <v>118</v>
      </c>
      <c r="D6" s="759" t="s">
        <v>119</v>
      </c>
      <c r="E6" s="733"/>
      <c r="F6" s="733"/>
      <c r="G6" s="733"/>
      <c r="H6" s="733"/>
      <c r="I6" s="733"/>
      <c r="J6" s="733"/>
      <c r="K6" s="733"/>
      <c r="L6" s="733"/>
      <c r="M6" s="733"/>
      <c r="N6" s="733"/>
      <c r="O6" s="733"/>
      <c r="P6" s="733"/>
      <c r="Q6" s="733"/>
      <c r="R6" s="733"/>
      <c r="S6" s="733"/>
      <c r="T6" s="734" t="s">
        <v>120</v>
      </c>
      <c r="U6" s="216"/>
    </row>
    <row r="7" spans="1:20" s="218" customFormat="1" ht="12.75" customHeight="1">
      <c r="A7" s="752"/>
      <c r="B7" s="753"/>
      <c r="C7" s="734"/>
      <c r="D7" s="735" t="s">
        <v>115</v>
      </c>
      <c r="E7" s="733" t="s">
        <v>7</v>
      </c>
      <c r="F7" s="733"/>
      <c r="G7" s="733"/>
      <c r="H7" s="733"/>
      <c r="I7" s="733"/>
      <c r="J7" s="733"/>
      <c r="K7" s="733"/>
      <c r="L7" s="733"/>
      <c r="M7" s="733"/>
      <c r="N7" s="733"/>
      <c r="O7" s="733"/>
      <c r="P7" s="733"/>
      <c r="Q7" s="733"/>
      <c r="R7" s="733"/>
      <c r="S7" s="733"/>
      <c r="T7" s="734"/>
    </row>
    <row r="8" spans="1:21" s="218" customFormat="1" ht="43.5" customHeight="1">
      <c r="A8" s="752"/>
      <c r="B8" s="753"/>
      <c r="C8" s="734"/>
      <c r="D8" s="736"/>
      <c r="E8" s="766" t="s">
        <v>121</v>
      </c>
      <c r="F8" s="734"/>
      <c r="G8" s="734"/>
      <c r="H8" s="734" t="s">
        <v>122</v>
      </c>
      <c r="I8" s="734"/>
      <c r="J8" s="734"/>
      <c r="K8" s="734" t="s">
        <v>123</v>
      </c>
      <c r="L8" s="734"/>
      <c r="M8" s="734" t="s">
        <v>124</v>
      </c>
      <c r="N8" s="734"/>
      <c r="O8" s="734"/>
      <c r="P8" s="734" t="s">
        <v>125</v>
      </c>
      <c r="Q8" s="734" t="s">
        <v>126</v>
      </c>
      <c r="R8" s="734" t="s">
        <v>127</v>
      </c>
      <c r="S8" s="763" t="s">
        <v>128</v>
      </c>
      <c r="T8" s="734"/>
      <c r="U8" s="726" t="s">
        <v>304</v>
      </c>
    </row>
    <row r="9" spans="1:21" s="218" customFormat="1" ht="44.25" customHeight="1">
      <c r="A9" s="754"/>
      <c r="B9" s="755"/>
      <c r="C9" s="734"/>
      <c r="D9" s="737"/>
      <c r="E9" s="219" t="s">
        <v>129</v>
      </c>
      <c r="F9" s="215" t="s">
        <v>130</v>
      </c>
      <c r="G9" s="215" t="s">
        <v>305</v>
      </c>
      <c r="H9" s="215" t="s">
        <v>131</v>
      </c>
      <c r="I9" s="215" t="s">
        <v>132</v>
      </c>
      <c r="J9" s="215" t="s">
        <v>133</v>
      </c>
      <c r="K9" s="215" t="s">
        <v>130</v>
      </c>
      <c r="L9" s="215" t="s">
        <v>134</v>
      </c>
      <c r="M9" s="215" t="s">
        <v>135</v>
      </c>
      <c r="N9" s="215" t="s">
        <v>136</v>
      </c>
      <c r="O9" s="215" t="s">
        <v>306</v>
      </c>
      <c r="P9" s="734"/>
      <c r="Q9" s="734"/>
      <c r="R9" s="734"/>
      <c r="S9" s="763"/>
      <c r="T9" s="734"/>
      <c r="U9" s="727"/>
    </row>
    <row r="10" spans="1:21" s="222" customFormat="1" ht="15.75" customHeight="1">
      <c r="A10" s="730" t="s">
        <v>6</v>
      </c>
      <c r="B10" s="731"/>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27"/>
    </row>
    <row r="11" spans="1:21" s="222" customFormat="1" ht="15.75" customHeight="1">
      <c r="A11" s="764" t="s">
        <v>284</v>
      </c>
      <c r="B11" s="76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28"/>
    </row>
    <row r="12" spans="1:21" s="222" customFormat="1" ht="15.75" customHeight="1">
      <c r="A12" s="740" t="s">
        <v>285</v>
      </c>
      <c r="B12" s="74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46" t="s">
        <v>30</v>
      </c>
      <c r="B13" s="74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32" t="s">
        <v>272</v>
      </c>
      <c r="C28" s="732"/>
      <c r="D28" s="732"/>
      <c r="E28" s="732"/>
      <c r="F28" s="181"/>
      <c r="G28" s="181"/>
      <c r="H28" s="181"/>
      <c r="I28" s="181"/>
      <c r="J28" s="181"/>
      <c r="K28" s="181" t="s">
        <v>137</v>
      </c>
      <c r="L28" s="182"/>
      <c r="M28" s="739" t="s">
        <v>307</v>
      </c>
      <c r="N28" s="739"/>
      <c r="O28" s="739"/>
      <c r="P28" s="739"/>
      <c r="Q28" s="739"/>
      <c r="R28" s="739"/>
      <c r="S28" s="739"/>
      <c r="T28" s="739"/>
    </row>
    <row r="29" spans="1:20" s="233" customFormat="1" ht="18.75" customHeight="1">
      <c r="A29" s="232"/>
      <c r="B29" s="745" t="s">
        <v>138</v>
      </c>
      <c r="C29" s="745"/>
      <c r="D29" s="745"/>
      <c r="E29" s="234"/>
      <c r="F29" s="183"/>
      <c r="G29" s="183"/>
      <c r="H29" s="183"/>
      <c r="I29" s="183"/>
      <c r="J29" s="183"/>
      <c r="K29" s="183"/>
      <c r="L29" s="182"/>
      <c r="M29" s="748" t="s">
        <v>296</v>
      </c>
      <c r="N29" s="748"/>
      <c r="O29" s="748"/>
      <c r="P29" s="748"/>
      <c r="Q29" s="748"/>
      <c r="R29" s="748"/>
      <c r="S29" s="748"/>
      <c r="T29" s="748"/>
    </row>
    <row r="30" spans="1:20" s="233" customFormat="1" ht="18.75">
      <c r="A30" s="184"/>
      <c r="B30" s="742"/>
      <c r="C30" s="742"/>
      <c r="D30" s="742"/>
      <c r="E30" s="186"/>
      <c r="F30" s="186"/>
      <c r="G30" s="186"/>
      <c r="H30" s="186"/>
      <c r="I30" s="186"/>
      <c r="J30" s="186"/>
      <c r="K30" s="186"/>
      <c r="L30" s="186"/>
      <c r="M30" s="743"/>
      <c r="N30" s="743"/>
      <c r="O30" s="743"/>
      <c r="P30" s="743"/>
      <c r="Q30" s="743"/>
      <c r="R30" s="743"/>
      <c r="S30" s="743"/>
      <c r="T30" s="74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44" t="s">
        <v>276</v>
      </c>
      <c r="C36" s="744"/>
      <c r="D36" s="744"/>
      <c r="E36" s="236"/>
      <c r="F36" s="236"/>
      <c r="G36" s="236"/>
      <c r="H36" s="236"/>
      <c r="I36" s="236"/>
      <c r="J36" s="236"/>
      <c r="K36" s="236"/>
      <c r="L36" s="236"/>
      <c r="M36" s="236"/>
      <c r="N36" s="744" t="s">
        <v>276</v>
      </c>
      <c r="O36" s="744"/>
      <c r="P36" s="744"/>
      <c r="Q36" s="744"/>
      <c r="R36" s="744"/>
      <c r="S36" s="74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15" t="s">
        <v>229</v>
      </c>
      <c r="C38" s="615"/>
      <c r="D38" s="615"/>
      <c r="E38" s="210"/>
      <c r="F38" s="210"/>
      <c r="G38" s="210"/>
      <c r="H38" s="210"/>
      <c r="I38" s="182"/>
      <c r="J38" s="182"/>
      <c r="K38" s="182"/>
      <c r="L38" s="182"/>
      <c r="M38" s="616" t="s">
        <v>230</v>
      </c>
      <c r="N38" s="616"/>
      <c r="O38" s="616"/>
      <c r="P38" s="616"/>
      <c r="Q38" s="616"/>
      <c r="R38" s="616"/>
      <c r="S38" s="616"/>
      <c r="T38" s="616"/>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90" t="s">
        <v>143</v>
      </c>
      <c r="B1" s="790"/>
      <c r="C1" s="790"/>
      <c r="D1" s="238"/>
      <c r="E1" s="795" t="s">
        <v>144</v>
      </c>
      <c r="F1" s="795"/>
      <c r="G1" s="795"/>
      <c r="H1" s="795"/>
      <c r="I1" s="795"/>
      <c r="J1" s="795"/>
      <c r="K1" s="795"/>
      <c r="L1" s="795"/>
      <c r="M1" s="795"/>
      <c r="N1" s="795"/>
      <c r="O1" s="191"/>
      <c r="P1" s="804" t="s">
        <v>346</v>
      </c>
      <c r="Q1" s="804"/>
      <c r="R1" s="804"/>
      <c r="S1" s="804"/>
      <c r="T1" s="804"/>
    </row>
    <row r="2" spans="1:20" ht="15.75" customHeight="1">
      <c r="A2" s="791" t="s">
        <v>308</v>
      </c>
      <c r="B2" s="791"/>
      <c r="C2" s="791"/>
      <c r="D2" s="791"/>
      <c r="E2" s="793" t="s">
        <v>145</v>
      </c>
      <c r="F2" s="793"/>
      <c r="G2" s="793"/>
      <c r="H2" s="793"/>
      <c r="I2" s="793"/>
      <c r="J2" s="793"/>
      <c r="K2" s="793"/>
      <c r="L2" s="793"/>
      <c r="M2" s="793"/>
      <c r="N2" s="793"/>
      <c r="O2" s="194"/>
      <c r="P2" s="807" t="s">
        <v>288</v>
      </c>
      <c r="Q2" s="807"/>
      <c r="R2" s="807"/>
      <c r="S2" s="807"/>
      <c r="T2" s="807"/>
    </row>
    <row r="3" spans="1:20" ht="17.25">
      <c r="A3" s="791" t="s">
        <v>239</v>
      </c>
      <c r="B3" s="791"/>
      <c r="C3" s="791"/>
      <c r="D3" s="239"/>
      <c r="E3" s="796" t="s">
        <v>240</v>
      </c>
      <c r="F3" s="796"/>
      <c r="G3" s="796"/>
      <c r="H3" s="796"/>
      <c r="I3" s="796"/>
      <c r="J3" s="796"/>
      <c r="K3" s="796"/>
      <c r="L3" s="796"/>
      <c r="M3" s="796"/>
      <c r="N3" s="796"/>
      <c r="O3" s="194"/>
      <c r="P3" s="808" t="s">
        <v>347</v>
      </c>
      <c r="Q3" s="808"/>
      <c r="R3" s="808"/>
      <c r="S3" s="808"/>
      <c r="T3" s="808"/>
    </row>
    <row r="4" spans="1:20" ht="18.75" customHeight="1">
      <c r="A4" s="792" t="s">
        <v>241</v>
      </c>
      <c r="B4" s="792"/>
      <c r="C4" s="792"/>
      <c r="D4" s="794"/>
      <c r="E4" s="794"/>
      <c r="F4" s="794"/>
      <c r="G4" s="794"/>
      <c r="H4" s="794"/>
      <c r="I4" s="794"/>
      <c r="J4" s="794"/>
      <c r="K4" s="794"/>
      <c r="L4" s="794"/>
      <c r="M4" s="794"/>
      <c r="N4" s="794"/>
      <c r="O4" s="195"/>
      <c r="P4" s="807" t="s">
        <v>280</v>
      </c>
      <c r="Q4" s="808"/>
      <c r="R4" s="808"/>
      <c r="S4" s="808"/>
      <c r="T4" s="808"/>
    </row>
    <row r="5" spans="1:23" ht="15">
      <c r="A5" s="208"/>
      <c r="B5" s="208"/>
      <c r="C5" s="240"/>
      <c r="D5" s="240"/>
      <c r="E5" s="208"/>
      <c r="F5" s="208"/>
      <c r="G5" s="208"/>
      <c r="H5" s="208"/>
      <c r="I5" s="208"/>
      <c r="J5" s="208"/>
      <c r="K5" s="208"/>
      <c r="L5" s="208"/>
      <c r="P5" s="803" t="s">
        <v>303</v>
      </c>
      <c r="Q5" s="803"/>
      <c r="R5" s="803"/>
      <c r="S5" s="803"/>
      <c r="T5" s="803"/>
      <c r="U5" s="241"/>
      <c r="V5" s="241"/>
      <c r="W5" s="241"/>
    </row>
    <row r="6" spans="1:23" ht="29.25" customHeight="1">
      <c r="A6" s="750" t="s">
        <v>53</v>
      </c>
      <c r="B6" s="777"/>
      <c r="C6" s="770" t="s">
        <v>2</v>
      </c>
      <c r="D6" s="809" t="s">
        <v>146</v>
      </c>
      <c r="E6" s="780"/>
      <c r="F6" s="780"/>
      <c r="G6" s="780"/>
      <c r="H6" s="780"/>
      <c r="I6" s="780"/>
      <c r="J6" s="781"/>
      <c r="K6" s="797" t="s">
        <v>147</v>
      </c>
      <c r="L6" s="798"/>
      <c r="M6" s="798"/>
      <c r="N6" s="798"/>
      <c r="O6" s="798"/>
      <c r="P6" s="798"/>
      <c r="Q6" s="798"/>
      <c r="R6" s="798"/>
      <c r="S6" s="798"/>
      <c r="T6" s="799"/>
      <c r="U6" s="242"/>
      <c r="V6" s="243"/>
      <c r="W6" s="243"/>
    </row>
    <row r="7" spans="1:20" ht="19.5" customHeight="1">
      <c r="A7" s="752"/>
      <c r="B7" s="778"/>
      <c r="C7" s="771"/>
      <c r="D7" s="780" t="s">
        <v>7</v>
      </c>
      <c r="E7" s="780"/>
      <c r="F7" s="780"/>
      <c r="G7" s="780"/>
      <c r="H7" s="780"/>
      <c r="I7" s="780"/>
      <c r="J7" s="781"/>
      <c r="K7" s="800"/>
      <c r="L7" s="801"/>
      <c r="M7" s="801"/>
      <c r="N7" s="801"/>
      <c r="O7" s="801"/>
      <c r="P7" s="801"/>
      <c r="Q7" s="801"/>
      <c r="R7" s="801"/>
      <c r="S7" s="801"/>
      <c r="T7" s="802"/>
    </row>
    <row r="8" spans="1:20" ht="33" customHeight="1">
      <c r="A8" s="752"/>
      <c r="B8" s="778"/>
      <c r="C8" s="771"/>
      <c r="D8" s="769" t="s">
        <v>148</v>
      </c>
      <c r="E8" s="776"/>
      <c r="F8" s="773" t="s">
        <v>149</v>
      </c>
      <c r="G8" s="776"/>
      <c r="H8" s="773" t="s">
        <v>150</v>
      </c>
      <c r="I8" s="776"/>
      <c r="J8" s="773" t="s">
        <v>151</v>
      </c>
      <c r="K8" s="806" t="s">
        <v>152</v>
      </c>
      <c r="L8" s="806"/>
      <c r="M8" s="806"/>
      <c r="N8" s="806" t="s">
        <v>153</v>
      </c>
      <c r="O8" s="806"/>
      <c r="P8" s="806"/>
      <c r="Q8" s="773" t="s">
        <v>154</v>
      </c>
      <c r="R8" s="805" t="s">
        <v>155</v>
      </c>
      <c r="S8" s="805" t="s">
        <v>156</v>
      </c>
      <c r="T8" s="773" t="s">
        <v>157</v>
      </c>
    </row>
    <row r="9" spans="1:20" ht="18.75" customHeight="1">
      <c r="A9" s="752"/>
      <c r="B9" s="778"/>
      <c r="C9" s="771"/>
      <c r="D9" s="769" t="s">
        <v>158</v>
      </c>
      <c r="E9" s="773" t="s">
        <v>159</v>
      </c>
      <c r="F9" s="773" t="s">
        <v>158</v>
      </c>
      <c r="G9" s="773" t="s">
        <v>159</v>
      </c>
      <c r="H9" s="773" t="s">
        <v>158</v>
      </c>
      <c r="I9" s="773" t="s">
        <v>160</v>
      </c>
      <c r="J9" s="773"/>
      <c r="K9" s="806"/>
      <c r="L9" s="806"/>
      <c r="M9" s="806"/>
      <c r="N9" s="806"/>
      <c r="O9" s="806"/>
      <c r="P9" s="806"/>
      <c r="Q9" s="773"/>
      <c r="R9" s="805"/>
      <c r="S9" s="805"/>
      <c r="T9" s="773"/>
    </row>
    <row r="10" spans="1:20" ht="23.25" customHeight="1">
      <c r="A10" s="754"/>
      <c r="B10" s="779"/>
      <c r="C10" s="772"/>
      <c r="D10" s="769"/>
      <c r="E10" s="773"/>
      <c r="F10" s="773"/>
      <c r="G10" s="773"/>
      <c r="H10" s="773"/>
      <c r="I10" s="773"/>
      <c r="J10" s="773"/>
      <c r="K10" s="244" t="s">
        <v>161</v>
      </c>
      <c r="L10" s="244" t="s">
        <v>136</v>
      </c>
      <c r="M10" s="244" t="s">
        <v>162</v>
      </c>
      <c r="N10" s="244" t="s">
        <v>161</v>
      </c>
      <c r="O10" s="244" t="s">
        <v>163</v>
      </c>
      <c r="P10" s="244" t="s">
        <v>164</v>
      </c>
      <c r="Q10" s="773"/>
      <c r="R10" s="805"/>
      <c r="S10" s="805"/>
      <c r="T10" s="773"/>
    </row>
    <row r="11" spans="1:32" s="201" customFormat="1" ht="17.25" customHeight="1">
      <c r="A11" s="774" t="s">
        <v>6</v>
      </c>
      <c r="B11" s="775"/>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82" t="s">
        <v>309</v>
      </c>
      <c r="B12" s="783"/>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87" t="s">
        <v>285</v>
      </c>
      <c r="B13" s="78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68" t="s">
        <v>165</v>
      </c>
      <c r="B14" s="769"/>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85" t="s">
        <v>297</v>
      </c>
      <c r="C29" s="785"/>
      <c r="D29" s="785"/>
      <c r="E29" s="785"/>
      <c r="F29" s="258"/>
      <c r="G29" s="258"/>
      <c r="H29" s="258"/>
      <c r="I29" s="258"/>
      <c r="J29" s="258"/>
      <c r="K29" s="258"/>
      <c r="L29" s="206"/>
      <c r="M29" s="784" t="s">
        <v>310</v>
      </c>
      <c r="N29" s="784"/>
      <c r="O29" s="784"/>
      <c r="P29" s="784"/>
      <c r="Q29" s="784"/>
      <c r="R29" s="784"/>
      <c r="S29" s="784"/>
      <c r="T29" s="784"/>
    </row>
    <row r="30" spans="1:20" ht="18.75" customHeight="1">
      <c r="A30" s="202"/>
      <c r="B30" s="786" t="s">
        <v>138</v>
      </c>
      <c r="C30" s="786"/>
      <c r="D30" s="786"/>
      <c r="E30" s="786"/>
      <c r="F30" s="205"/>
      <c r="G30" s="205"/>
      <c r="H30" s="205"/>
      <c r="I30" s="205"/>
      <c r="J30" s="205"/>
      <c r="K30" s="205"/>
      <c r="L30" s="206"/>
      <c r="M30" s="789" t="s">
        <v>139</v>
      </c>
      <c r="N30" s="789"/>
      <c r="O30" s="789"/>
      <c r="P30" s="789"/>
      <c r="Q30" s="789"/>
      <c r="R30" s="789"/>
      <c r="S30" s="789"/>
      <c r="T30" s="789"/>
    </row>
    <row r="31" spans="1:20" ht="18.75">
      <c r="A31" s="208"/>
      <c r="B31" s="742"/>
      <c r="C31" s="742"/>
      <c r="D31" s="742"/>
      <c r="E31" s="742"/>
      <c r="F31" s="209"/>
      <c r="G31" s="209"/>
      <c r="H31" s="209"/>
      <c r="I31" s="209"/>
      <c r="J31" s="209"/>
      <c r="K31" s="209"/>
      <c r="L31" s="209"/>
      <c r="M31" s="743"/>
      <c r="N31" s="743"/>
      <c r="O31" s="743"/>
      <c r="P31" s="743"/>
      <c r="Q31" s="743"/>
      <c r="R31" s="743"/>
      <c r="S31" s="743"/>
      <c r="T31" s="74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67" t="s">
        <v>276</v>
      </c>
      <c r="C33" s="767"/>
      <c r="D33" s="767"/>
      <c r="E33" s="767"/>
      <c r="F33" s="767"/>
      <c r="G33" s="259"/>
      <c r="H33" s="259"/>
      <c r="I33" s="259"/>
      <c r="J33" s="259"/>
      <c r="K33" s="259"/>
      <c r="L33" s="259"/>
      <c r="M33" s="259"/>
      <c r="N33" s="767" t="s">
        <v>276</v>
      </c>
      <c r="O33" s="767"/>
      <c r="P33" s="767"/>
      <c r="Q33" s="767"/>
      <c r="R33" s="767"/>
      <c r="S33" s="767"/>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15" t="s">
        <v>229</v>
      </c>
      <c r="C35" s="615"/>
      <c r="D35" s="615"/>
      <c r="E35" s="615"/>
      <c r="F35" s="210"/>
      <c r="G35" s="210"/>
      <c r="H35" s="210"/>
      <c r="I35" s="182"/>
      <c r="J35" s="182"/>
      <c r="K35" s="182"/>
      <c r="L35" s="182"/>
      <c r="M35" s="616" t="s">
        <v>230</v>
      </c>
      <c r="N35" s="616"/>
      <c r="O35" s="616"/>
      <c r="P35" s="616"/>
      <c r="Q35" s="616"/>
      <c r="R35" s="616"/>
      <c r="S35" s="616"/>
      <c r="T35" s="616"/>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D6:J6"/>
    <mergeCell ref="D9:D10"/>
    <mergeCell ref="F8:G8"/>
    <mergeCell ref="K8:M9"/>
    <mergeCell ref="J8:J10"/>
    <mergeCell ref="H9:H10"/>
    <mergeCell ref="G9:G10"/>
    <mergeCell ref="I9:I10"/>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13" t="s">
        <v>168</v>
      </c>
      <c r="B1" s="813"/>
      <c r="C1" s="813"/>
      <c r="D1" s="816" t="s">
        <v>349</v>
      </c>
      <c r="E1" s="816"/>
      <c r="F1" s="816"/>
      <c r="G1" s="816"/>
      <c r="H1" s="816"/>
      <c r="I1" s="816"/>
      <c r="J1" s="817" t="s">
        <v>350</v>
      </c>
      <c r="K1" s="818"/>
      <c r="L1" s="818"/>
    </row>
    <row r="2" spans="1:12" ht="34.5" customHeight="1">
      <c r="A2" s="819" t="s">
        <v>311</v>
      </c>
      <c r="B2" s="819"/>
      <c r="C2" s="819"/>
      <c r="D2" s="816"/>
      <c r="E2" s="816"/>
      <c r="F2" s="816"/>
      <c r="G2" s="816"/>
      <c r="H2" s="816"/>
      <c r="I2" s="816"/>
      <c r="J2" s="820" t="s">
        <v>351</v>
      </c>
      <c r="K2" s="821"/>
      <c r="L2" s="821"/>
    </row>
    <row r="3" spans="1:12" ht="15" customHeight="1">
      <c r="A3" s="265" t="s">
        <v>241</v>
      </c>
      <c r="B3" s="174"/>
      <c r="C3" s="822"/>
      <c r="D3" s="822"/>
      <c r="E3" s="822"/>
      <c r="F3" s="822"/>
      <c r="G3" s="822"/>
      <c r="H3" s="822"/>
      <c r="I3" s="822"/>
      <c r="J3" s="814"/>
      <c r="K3" s="815"/>
      <c r="L3" s="815"/>
    </row>
    <row r="4" spans="1:12" ht="15.75" customHeight="1">
      <c r="A4" s="266"/>
      <c r="B4" s="266"/>
      <c r="C4" s="267"/>
      <c r="D4" s="267"/>
      <c r="E4" s="170"/>
      <c r="F4" s="170"/>
      <c r="G4" s="170"/>
      <c r="H4" s="268"/>
      <c r="I4" s="268"/>
      <c r="J4" s="810" t="s">
        <v>169</v>
      </c>
      <c r="K4" s="810"/>
      <c r="L4" s="810"/>
    </row>
    <row r="5" spans="1:12" s="269" customFormat="1" ht="28.5" customHeight="1">
      <c r="A5" s="824" t="s">
        <v>53</v>
      </c>
      <c r="B5" s="824"/>
      <c r="C5" s="734" t="s">
        <v>31</v>
      </c>
      <c r="D5" s="734" t="s">
        <v>170</v>
      </c>
      <c r="E5" s="734"/>
      <c r="F5" s="734"/>
      <c r="G5" s="734"/>
      <c r="H5" s="734" t="s">
        <v>171</v>
      </c>
      <c r="I5" s="734"/>
      <c r="J5" s="734" t="s">
        <v>172</v>
      </c>
      <c r="K5" s="734"/>
      <c r="L5" s="734"/>
    </row>
    <row r="6" spans="1:13" s="269" customFormat="1" ht="80.25" customHeight="1">
      <c r="A6" s="824"/>
      <c r="B6" s="824"/>
      <c r="C6" s="734"/>
      <c r="D6" s="215" t="s">
        <v>173</v>
      </c>
      <c r="E6" s="215" t="s">
        <v>174</v>
      </c>
      <c r="F6" s="215" t="s">
        <v>312</v>
      </c>
      <c r="G6" s="215" t="s">
        <v>175</v>
      </c>
      <c r="H6" s="215" t="s">
        <v>176</v>
      </c>
      <c r="I6" s="215" t="s">
        <v>177</v>
      </c>
      <c r="J6" s="215" t="s">
        <v>178</v>
      </c>
      <c r="K6" s="215" t="s">
        <v>179</v>
      </c>
      <c r="L6" s="215" t="s">
        <v>180</v>
      </c>
      <c r="M6" s="270"/>
    </row>
    <row r="7" spans="1:12" s="271" customFormat="1" ht="16.5" customHeight="1">
      <c r="A7" s="811" t="s">
        <v>6</v>
      </c>
      <c r="B7" s="811"/>
      <c r="C7" s="221">
        <v>1</v>
      </c>
      <c r="D7" s="221">
        <v>2</v>
      </c>
      <c r="E7" s="221">
        <v>3</v>
      </c>
      <c r="F7" s="221">
        <v>4</v>
      </c>
      <c r="G7" s="221">
        <v>5</v>
      </c>
      <c r="H7" s="221">
        <v>6</v>
      </c>
      <c r="I7" s="221">
        <v>7</v>
      </c>
      <c r="J7" s="221">
        <v>8</v>
      </c>
      <c r="K7" s="221">
        <v>9</v>
      </c>
      <c r="L7" s="221">
        <v>10</v>
      </c>
    </row>
    <row r="8" spans="1:12" s="271" customFormat="1" ht="16.5" customHeight="1">
      <c r="A8" s="827" t="s">
        <v>309</v>
      </c>
      <c r="B8" s="82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25" t="s">
        <v>285</v>
      </c>
      <c r="B9" s="826"/>
      <c r="C9" s="224">
        <v>9</v>
      </c>
      <c r="D9" s="224">
        <v>2</v>
      </c>
      <c r="E9" s="224">
        <v>2</v>
      </c>
      <c r="F9" s="224">
        <v>0</v>
      </c>
      <c r="G9" s="224">
        <v>5</v>
      </c>
      <c r="H9" s="224">
        <v>8</v>
      </c>
      <c r="I9" s="224">
        <v>0</v>
      </c>
      <c r="J9" s="224">
        <v>8</v>
      </c>
      <c r="K9" s="224">
        <v>1</v>
      </c>
      <c r="L9" s="224">
        <v>0</v>
      </c>
    </row>
    <row r="10" spans="1:12" s="271" customFormat="1" ht="16.5" customHeight="1">
      <c r="A10" s="812" t="s">
        <v>165</v>
      </c>
      <c r="B10" s="81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732" t="s">
        <v>314</v>
      </c>
      <c r="B25" s="732"/>
      <c r="C25" s="732"/>
      <c r="D25" s="732"/>
      <c r="E25" s="182"/>
      <c r="F25" s="739" t="s">
        <v>272</v>
      </c>
      <c r="G25" s="739"/>
      <c r="H25" s="739"/>
      <c r="I25" s="739"/>
      <c r="J25" s="739"/>
      <c r="K25" s="739"/>
      <c r="L25" s="739"/>
      <c r="AJ25" s="190" t="s">
        <v>270</v>
      </c>
    </row>
    <row r="26" spans="1:44" ht="15" customHeight="1">
      <c r="A26" s="745" t="s">
        <v>138</v>
      </c>
      <c r="B26" s="745"/>
      <c r="C26" s="745"/>
      <c r="D26" s="745"/>
      <c r="E26" s="183"/>
      <c r="F26" s="748" t="s">
        <v>139</v>
      </c>
      <c r="G26" s="748"/>
      <c r="H26" s="748"/>
      <c r="I26" s="748"/>
      <c r="J26" s="748"/>
      <c r="K26" s="748"/>
      <c r="L26" s="748"/>
      <c r="AR26" s="190"/>
    </row>
    <row r="27" spans="1:12" s="170" customFormat="1" ht="18.75">
      <c r="A27" s="742"/>
      <c r="B27" s="742"/>
      <c r="C27" s="742"/>
      <c r="D27" s="742"/>
      <c r="E27" s="182"/>
      <c r="F27" s="743"/>
      <c r="G27" s="743"/>
      <c r="H27" s="743"/>
      <c r="I27" s="743"/>
      <c r="J27" s="743"/>
      <c r="K27" s="743"/>
      <c r="L27" s="743"/>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823" t="s">
        <v>276</v>
      </c>
      <c r="C29" s="823"/>
      <c r="D29" s="182"/>
      <c r="E29" s="182"/>
      <c r="F29" s="182"/>
      <c r="G29" s="182"/>
      <c r="H29" s="823" t="s">
        <v>276</v>
      </c>
      <c r="I29" s="823"/>
      <c r="J29" s="82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15" t="s">
        <v>229</v>
      </c>
      <c r="B37" s="615"/>
      <c r="C37" s="615"/>
      <c r="D37" s="615"/>
      <c r="E37" s="210"/>
      <c r="F37" s="616" t="s">
        <v>230</v>
      </c>
      <c r="G37" s="616"/>
      <c r="H37" s="616"/>
      <c r="I37" s="616"/>
      <c r="J37" s="616"/>
      <c r="K37" s="616"/>
      <c r="L37" s="616"/>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36" t="s">
        <v>186</v>
      </c>
      <c r="B1" s="836"/>
      <c r="C1" s="836"/>
      <c r="D1" s="816" t="s">
        <v>352</v>
      </c>
      <c r="E1" s="816"/>
      <c r="F1" s="816"/>
      <c r="G1" s="816"/>
      <c r="H1" s="816"/>
      <c r="I1" s="170"/>
      <c r="J1" s="171" t="s">
        <v>346</v>
      </c>
      <c r="K1" s="280"/>
      <c r="L1" s="280"/>
    </row>
    <row r="2" spans="1:12" ht="15.75" customHeight="1">
      <c r="A2" s="840" t="s">
        <v>287</v>
      </c>
      <c r="B2" s="840"/>
      <c r="C2" s="840"/>
      <c r="D2" s="816"/>
      <c r="E2" s="816"/>
      <c r="F2" s="816"/>
      <c r="G2" s="816"/>
      <c r="H2" s="816"/>
      <c r="I2" s="170"/>
      <c r="J2" s="281" t="s">
        <v>288</v>
      </c>
      <c r="K2" s="281"/>
      <c r="L2" s="281"/>
    </row>
    <row r="3" spans="1:12" ht="18.75" customHeight="1">
      <c r="A3" s="758" t="s">
        <v>239</v>
      </c>
      <c r="B3" s="758"/>
      <c r="C3" s="758"/>
      <c r="D3" s="167"/>
      <c r="E3" s="167"/>
      <c r="F3" s="167"/>
      <c r="G3" s="167"/>
      <c r="H3" s="167"/>
      <c r="I3" s="170"/>
      <c r="J3" s="174" t="s">
        <v>345</v>
      </c>
      <c r="K3" s="174"/>
      <c r="L3" s="174"/>
    </row>
    <row r="4" spans="1:12" ht="15.75" customHeight="1">
      <c r="A4" s="837" t="s">
        <v>315</v>
      </c>
      <c r="B4" s="837"/>
      <c r="C4" s="837"/>
      <c r="D4" s="835"/>
      <c r="E4" s="835"/>
      <c r="F4" s="835"/>
      <c r="G4" s="835"/>
      <c r="H4" s="835"/>
      <c r="I4" s="170"/>
      <c r="J4" s="282" t="s">
        <v>280</v>
      </c>
      <c r="K4" s="282"/>
      <c r="L4" s="282"/>
    </row>
    <row r="5" spans="1:12" ht="15.75">
      <c r="A5" s="841"/>
      <c r="B5" s="841"/>
      <c r="C5" s="166"/>
      <c r="D5" s="170"/>
      <c r="E5" s="170"/>
      <c r="F5" s="170"/>
      <c r="G5" s="170"/>
      <c r="H5" s="283"/>
      <c r="I5" s="833" t="s">
        <v>316</v>
      </c>
      <c r="J5" s="833"/>
      <c r="K5" s="833"/>
      <c r="L5" s="833"/>
    </row>
    <row r="6" spans="1:12" ht="18.75" customHeight="1">
      <c r="A6" s="750" t="s">
        <v>53</v>
      </c>
      <c r="B6" s="751"/>
      <c r="C6" s="829" t="s">
        <v>187</v>
      </c>
      <c r="D6" s="746" t="s">
        <v>188</v>
      </c>
      <c r="E6" s="834"/>
      <c r="F6" s="747"/>
      <c r="G6" s="746" t="s">
        <v>189</v>
      </c>
      <c r="H6" s="834"/>
      <c r="I6" s="834"/>
      <c r="J6" s="834"/>
      <c r="K6" s="834"/>
      <c r="L6" s="747"/>
    </row>
    <row r="7" spans="1:12" ht="15.75" customHeight="1">
      <c r="A7" s="752"/>
      <c r="B7" s="753"/>
      <c r="C7" s="830"/>
      <c r="D7" s="746" t="s">
        <v>7</v>
      </c>
      <c r="E7" s="834"/>
      <c r="F7" s="747"/>
      <c r="G7" s="829" t="s">
        <v>30</v>
      </c>
      <c r="H7" s="746" t="s">
        <v>7</v>
      </c>
      <c r="I7" s="834"/>
      <c r="J7" s="834"/>
      <c r="K7" s="834"/>
      <c r="L7" s="747"/>
    </row>
    <row r="8" spans="1:12" ht="14.25" customHeight="1">
      <c r="A8" s="752"/>
      <c r="B8" s="753"/>
      <c r="C8" s="830"/>
      <c r="D8" s="829" t="s">
        <v>190</v>
      </c>
      <c r="E8" s="829" t="s">
        <v>191</v>
      </c>
      <c r="F8" s="829" t="s">
        <v>192</v>
      </c>
      <c r="G8" s="830"/>
      <c r="H8" s="829" t="s">
        <v>193</v>
      </c>
      <c r="I8" s="829" t="s">
        <v>194</v>
      </c>
      <c r="J8" s="829" t="s">
        <v>195</v>
      </c>
      <c r="K8" s="829" t="s">
        <v>196</v>
      </c>
      <c r="L8" s="829" t="s">
        <v>197</v>
      </c>
    </row>
    <row r="9" spans="1:12" ht="77.25" customHeight="1">
      <c r="A9" s="754"/>
      <c r="B9" s="755"/>
      <c r="C9" s="831"/>
      <c r="D9" s="831"/>
      <c r="E9" s="831"/>
      <c r="F9" s="831"/>
      <c r="G9" s="831"/>
      <c r="H9" s="831"/>
      <c r="I9" s="831"/>
      <c r="J9" s="831"/>
      <c r="K9" s="831"/>
      <c r="L9" s="831"/>
    </row>
    <row r="10" spans="1:12" s="271" customFormat="1" ht="16.5" customHeight="1">
      <c r="A10" s="842" t="s">
        <v>6</v>
      </c>
      <c r="B10" s="843"/>
      <c r="C10" s="220">
        <v>1</v>
      </c>
      <c r="D10" s="220">
        <v>2</v>
      </c>
      <c r="E10" s="220">
        <v>3</v>
      </c>
      <c r="F10" s="220">
        <v>4</v>
      </c>
      <c r="G10" s="220">
        <v>5</v>
      </c>
      <c r="H10" s="220">
        <v>6</v>
      </c>
      <c r="I10" s="220">
        <v>7</v>
      </c>
      <c r="J10" s="220">
        <v>8</v>
      </c>
      <c r="K10" s="221" t="s">
        <v>59</v>
      </c>
      <c r="L10" s="221" t="s">
        <v>79</v>
      </c>
    </row>
    <row r="11" spans="1:12" s="271" customFormat="1" ht="16.5" customHeight="1">
      <c r="A11" s="846" t="s">
        <v>284</v>
      </c>
      <c r="B11" s="84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44" t="s">
        <v>285</v>
      </c>
      <c r="B12" s="845"/>
      <c r="C12" s="224">
        <v>12</v>
      </c>
      <c r="D12" s="224">
        <v>0</v>
      </c>
      <c r="E12" s="224">
        <v>1</v>
      </c>
      <c r="F12" s="224">
        <v>11</v>
      </c>
      <c r="G12" s="224">
        <v>10</v>
      </c>
      <c r="H12" s="224">
        <v>0</v>
      </c>
      <c r="I12" s="224">
        <v>0</v>
      </c>
      <c r="J12" s="224">
        <v>0</v>
      </c>
      <c r="K12" s="224">
        <v>6</v>
      </c>
      <c r="L12" s="224">
        <v>4</v>
      </c>
    </row>
    <row r="13" spans="1:32" s="271" customFormat="1" ht="16.5" customHeight="1">
      <c r="A13" s="838" t="s">
        <v>30</v>
      </c>
      <c r="B13" s="83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32" t="s">
        <v>272</v>
      </c>
      <c r="B28" s="732"/>
      <c r="C28" s="732"/>
      <c r="D28" s="732"/>
      <c r="E28" s="732"/>
      <c r="F28" s="182"/>
      <c r="G28" s="181"/>
      <c r="H28" s="294" t="s">
        <v>317</v>
      </c>
      <c r="I28" s="295"/>
      <c r="J28" s="295"/>
      <c r="K28" s="295"/>
      <c r="L28" s="295"/>
      <c r="AG28" s="233" t="s">
        <v>273</v>
      </c>
      <c r="AI28" s="190">
        <f>82/88</f>
        <v>0.9318181818181818</v>
      </c>
    </row>
    <row r="29" spans="1:12" ht="15" customHeight="1">
      <c r="A29" s="745" t="s">
        <v>4</v>
      </c>
      <c r="B29" s="745"/>
      <c r="C29" s="745"/>
      <c r="D29" s="745"/>
      <c r="E29" s="745"/>
      <c r="F29" s="182"/>
      <c r="G29" s="183"/>
      <c r="H29" s="748" t="s">
        <v>139</v>
      </c>
      <c r="I29" s="748"/>
      <c r="J29" s="748"/>
      <c r="K29" s="748"/>
      <c r="L29" s="748"/>
    </row>
    <row r="30" spans="1:14" s="170" customFormat="1" ht="18.75">
      <c r="A30" s="742"/>
      <c r="B30" s="742"/>
      <c r="C30" s="742"/>
      <c r="D30" s="742"/>
      <c r="E30" s="742"/>
      <c r="F30" s="296"/>
      <c r="G30" s="182"/>
      <c r="H30" s="743"/>
      <c r="I30" s="743"/>
      <c r="J30" s="743"/>
      <c r="K30" s="743"/>
      <c r="L30" s="743"/>
      <c r="M30" s="297"/>
      <c r="N30" s="297"/>
    </row>
    <row r="31" spans="1:12" ht="18">
      <c r="A31" s="182"/>
      <c r="B31" s="182"/>
      <c r="C31" s="182"/>
      <c r="D31" s="182"/>
      <c r="E31" s="182"/>
      <c r="F31" s="182"/>
      <c r="G31" s="182"/>
      <c r="H31" s="182"/>
      <c r="I31" s="182"/>
      <c r="J31" s="182"/>
      <c r="K31" s="182"/>
      <c r="L31" s="298"/>
    </row>
    <row r="32" spans="1:12" ht="18">
      <c r="A32" s="182"/>
      <c r="B32" s="823" t="s">
        <v>276</v>
      </c>
      <c r="C32" s="823"/>
      <c r="D32" s="823"/>
      <c r="E32" s="823"/>
      <c r="F32" s="182"/>
      <c r="G32" s="182"/>
      <c r="H32" s="182"/>
      <c r="I32" s="823" t="s">
        <v>276</v>
      </c>
      <c r="J32" s="823"/>
      <c r="K32" s="823"/>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32" t="s">
        <v>198</v>
      </c>
      <c r="C40" s="832"/>
      <c r="D40" s="832"/>
      <c r="E40" s="832"/>
      <c r="F40" s="832"/>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615" t="s">
        <v>318</v>
      </c>
      <c r="B43" s="615"/>
      <c r="C43" s="615"/>
      <c r="D43" s="615"/>
      <c r="E43" s="615"/>
      <c r="F43" s="182"/>
      <c r="G43" s="301"/>
      <c r="H43" s="616" t="s">
        <v>230</v>
      </c>
      <c r="I43" s="616"/>
      <c r="J43" s="616"/>
      <c r="K43" s="616"/>
      <c r="L43" s="616"/>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60" t="s">
        <v>201</v>
      </c>
      <c r="B1" s="760"/>
      <c r="C1" s="760"/>
      <c r="D1" s="760"/>
      <c r="E1" s="306"/>
      <c r="F1" s="756" t="s">
        <v>353</v>
      </c>
      <c r="G1" s="756"/>
      <c r="H1" s="756"/>
      <c r="I1" s="756"/>
      <c r="J1" s="756"/>
      <c r="K1" s="756"/>
      <c r="L1" s="756"/>
      <c r="M1" s="756"/>
      <c r="N1" s="756"/>
      <c r="O1" s="756"/>
      <c r="P1" s="307" t="s">
        <v>277</v>
      </c>
      <c r="Q1" s="308"/>
      <c r="R1" s="308"/>
      <c r="S1" s="308"/>
      <c r="T1" s="308"/>
    </row>
    <row r="2" spans="1:20" s="177" customFormat="1" ht="20.25" customHeight="1">
      <c r="A2" s="861" t="s">
        <v>287</v>
      </c>
      <c r="B2" s="861"/>
      <c r="C2" s="861"/>
      <c r="D2" s="861"/>
      <c r="E2" s="306"/>
      <c r="F2" s="756"/>
      <c r="G2" s="756"/>
      <c r="H2" s="756"/>
      <c r="I2" s="756"/>
      <c r="J2" s="756"/>
      <c r="K2" s="756"/>
      <c r="L2" s="756"/>
      <c r="M2" s="756"/>
      <c r="N2" s="756"/>
      <c r="O2" s="756"/>
      <c r="P2" s="308" t="s">
        <v>319</v>
      </c>
      <c r="Q2" s="308"/>
      <c r="R2" s="308"/>
      <c r="S2" s="308"/>
      <c r="T2" s="308"/>
    </row>
    <row r="3" spans="1:20" s="177" customFormat="1" ht="15" customHeight="1">
      <c r="A3" s="861" t="s">
        <v>239</v>
      </c>
      <c r="B3" s="861"/>
      <c r="C3" s="861"/>
      <c r="D3" s="861"/>
      <c r="E3" s="306"/>
      <c r="F3" s="756"/>
      <c r="G3" s="756"/>
      <c r="H3" s="756"/>
      <c r="I3" s="756"/>
      <c r="J3" s="756"/>
      <c r="K3" s="756"/>
      <c r="L3" s="756"/>
      <c r="M3" s="756"/>
      <c r="N3" s="756"/>
      <c r="O3" s="756"/>
      <c r="P3" s="307" t="s">
        <v>345</v>
      </c>
      <c r="Q3" s="307"/>
      <c r="R3" s="307"/>
      <c r="S3" s="309"/>
      <c r="T3" s="309"/>
    </row>
    <row r="4" spans="1:20" s="177" customFormat="1" ht="15.75" customHeight="1">
      <c r="A4" s="868" t="s">
        <v>320</v>
      </c>
      <c r="B4" s="868"/>
      <c r="C4" s="868"/>
      <c r="D4" s="868"/>
      <c r="E4" s="307"/>
      <c r="F4" s="756"/>
      <c r="G4" s="756"/>
      <c r="H4" s="756"/>
      <c r="I4" s="756"/>
      <c r="J4" s="756"/>
      <c r="K4" s="756"/>
      <c r="L4" s="756"/>
      <c r="M4" s="756"/>
      <c r="N4" s="756"/>
      <c r="O4" s="756"/>
      <c r="P4" s="308" t="s">
        <v>289</v>
      </c>
      <c r="Q4" s="307"/>
      <c r="R4" s="307"/>
      <c r="S4" s="309"/>
      <c r="T4" s="309"/>
    </row>
    <row r="5" spans="1:18" s="177" customFormat="1" ht="24" customHeight="1">
      <c r="A5" s="310"/>
      <c r="B5" s="310"/>
      <c r="C5" s="310"/>
      <c r="F5" s="862"/>
      <c r="G5" s="862"/>
      <c r="H5" s="862"/>
      <c r="I5" s="862"/>
      <c r="J5" s="862"/>
      <c r="K5" s="862"/>
      <c r="L5" s="862"/>
      <c r="M5" s="862"/>
      <c r="N5" s="862"/>
      <c r="O5" s="862"/>
      <c r="P5" s="311" t="s">
        <v>321</v>
      </c>
      <c r="Q5" s="312"/>
      <c r="R5" s="312"/>
    </row>
    <row r="6" spans="1:20" s="313" customFormat="1" ht="21.75" customHeight="1">
      <c r="A6" s="852" t="s">
        <v>53</v>
      </c>
      <c r="B6" s="853"/>
      <c r="C6" s="763" t="s">
        <v>31</v>
      </c>
      <c r="D6" s="766"/>
      <c r="E6" s="763" t="s">
        <v>7</v>
      </c>
      <c r="F6" s="858"/>
      <c r="G6" s="858"/>
      <c r="H6" s="858"/>
      <c r="I6" s="858"/>
      <c r="J6" s="858"/>
      <c r="K6" s="858"/>
      <c r="L6" s="858"/>
      <c r="M6" s="858"/>
      <c r="N6" s="858"/>
      <c r="O6" s="858"/>
      <c r="P6" s="858"/>
      <c r="Q6" s="858"/>
      <c r="R6" s="858"/>
      <c r="S6" s="858"/>
      <c r="T6" s="766"/>
    </row>
    <row r="7" spans="1:21" s="313" customFormat="1" ht="22.5" customHeight="1">
      <c r="A7" s="854"/>
      <c r="B7" s="855"/>
      <c r="C7" s="735" t="s">
        <v>322</v>
      </c>
      <c r="D7" s="735" t="s">
        <v>323</v>
      </c>
      <c r="E7" s="763" t="s">
        <v>202</v>
      </c>
      <c r="F7" s="848"/>
      <c r="G7" s="848"/>
      <c r="H7" s="848"/>
      <c r="I7" s="848"/>
      <c r="J7" s="848"/>
      <c r="K7" s="848"/>
      <c r="L7" s="849"/>
      <c r="M7" s="763" t="s">
        <v>324</v>
      </c>
      <c r="N7" s="858"/>
      <c r="O7" s="858"/>
      <c r="P7" s="858"/>
      <c r="Q7" s="858"/>
      <c r="R7" s="858"/>
      <c r="S7" s="858"/>
      <c r="T7" s="766"/>
      <c r="U7" s="314"/>
    </row>
    <row r="8" spans="1:20" s="313" customFormat="1" ht="42.75" customHeight="1">
      <c r="A8" s="854"/>
      <c r="B8" s="855"/>
      <c r="C8" s="736"/>
      <c r="D8" s="736"/>
      <c r="E8" s="734" t="s">
        <v>325</v>
      </c>
      <c r="F8" s="734"/>
      <c r="G8" s="763" t="s">
        <v>326</v>
      </c>
      <c r="H8" s="858"/>
      <c r="I8" s="858"/>
      <c r="J8" s="858"/>
      <c r="K8" s="858"/>
      <c r="L8" s="766"/>
      <c r="M8" s="734" t="s">
        <v>327</v>
      </c>
      <c r="N8" s="734"/>
      <c r="O8" s="763" t="s">
        <v>326</v>
      </c>
      <c r="P8" s="858"/>
      <c r="Q8" s="858"/>
      <c r="R8" s="858"/>
      <c r="S8" s="858"/>
      <c r="T8" s="766"/>
    </row>
    <row r="9" spans="1:20" s="313" customFormat="1" ht="35.25" customHeight="1">
      <c r="A9" s="854"/>
      <c r="B9" s="855"/>
      <c r="C9" s="736"/>
      <c r="D9" s="736"/>
      <c r="E9" s="735" t="s">
        <v>203</v>
      </c>
      <c r="F9" s="735" t="s">
        <v>204</v>
      </c>
      <c r="G9" s="850" t="s">
        <v>205</v>
      </c>
      <c r="H9" s="851"/>
      <c r="I9" s="850" t="s">
        <v>206</v>
      </c>
      <c r="J9" s="851"/>
      <c r="K9" s="850" t="s">
        <v>207</v>
      </c>
      <c r="L9" s="851"/>
      <c r="M9" s="735" t="s">
        <v>208</v>
      </c>
      <c r="N9" s="735" t="s">
        <v>204</v>
      </c>
      <c r="O9" s="850" t="s">
        <v>205</v>
      </c>
      <c r="P9" s="851"/>
      <c r="Q9" s="850" t="s">
        <v>209</v>
      </c>
      <c r="R9" s="851"/>
      <c r="S9" s="850" t="s">
        <v>210</v>
      </c>
      <c r="T9" s="851"/>
    </row>
    <row r="10" spans="1:20" s="313" customFormat="1" ht="25.5" customHeight="1">
      <c r="A10" s="850"/>
      <c r="B10" s="851"/>
      <c r="C10" s="737"/>
      <c r="D10" s="737"/>
      <c r="E10" s="737"/>
      <c r="F10" s="737"/>
      <c r="G10" s="215" t="s">
        <v>208</v>
      </c>
      <c r="H10" s="215" t="s">
        <v>204</v>
      </c>
      <c r="I10" s="219" t="s">
        <v>208</v>
      </c>
      <c r="J10" s="215" t="s">
        <v>204</v>
      </c>
      <c r="K10" s="219" t="s">
        <v>208</v>
      </c>
      <c r="L10" s="215" t="s">
        <v>204</v>
      </c>
      <c r="M10" s="737"/>
      <c r="N10" s="737"/>
      <c r="O10" s="215" t="s">
        <v>208</v>
      </c>
      <c r="P10" s="215" t="s">
        <v>204</v>
      </c>
      <c r="Q10" s="219" t="s">
        <v>208</v>
      </c>
      <c r="R10" s="215" t="s">
        <v>204</v>
      </c>
      <c r="S10" s="219" t="s">
        <v>208</v>
      </c>
      <c r="T10" s="215" t="s">
        <v>204</v>
      </c>
    </row>
    <row r="11" spans="1:32" s="222" customFormat="1" ht="12.75">
      <c r="A11" s="856" t="s">
        <v>6</v>
      </c>
      <c r="B11" s="857"/>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63" t="s">
        <v>309</v>
      </c>
      <c r="B12" s="864"/>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65" t="s">
        <v>285</v>
      </c>
      <c r="B13" s="866"/>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9" t="s">
        <v>30</v>
      </c>
      <c r="B14" s="860"/>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732" t="s">
        <v>272</v>
      </c>
      <c r="C29" s="732"/>
      <c r="D29" s="732"/>
      <c r="E29" s="732"/>
      <c r="F29" s="732"/>
      <c r="G29" s="732"/>
      <c r="H29" s="181"/>
      <c r="I29" s="181"/>
      <c r="J29" s="182"/>
      <c r="K29" s="181"/>
      <c r="L29" s="739" t="s">
        <v>272</v>
      </c>
      <c r="M29" s="739"/>
      <c r="N29" s="739"/>
      <c r="O29" s="739"/>
      <c r="P29" s="739"/>
      <c r="Q29" s="739"/>
      <c r="R29" s="739"/>
      <c r="S29" s="739"/>
      <c r="T29" s="739"/>
    </row>
    <row r="30" spans="1:20" ht="15" customHeight="1">
      <c r="A30" s="180"/>
      <c r="B30" s="745" t="s">
        <v>35</v>
      </c>
      <c r="C30" s="745"/>
      <c r="D30" s="745"/>
      <c r="E30" s="745"/>
      <c r="F30" s="745"/>
      <c r="G30" s="745"/>
      <c r="H30" s="183"/>
      <c r="I30" s="183"/>
      <c r="J30" s="183"/>
      <c r="K30" s="183"/>
      <c r="L30" s="748" t="s">
        <v>228</v>
      </c>
      <c r="M30" s="748"/>
      <c r="N30" s="748"/>
      <c r="O30" s="748"/>
      <c r="P30" s="748"/>
      <c r="Q30" s="748"/>
      <c r="R30" s="748"/>
      <c r="S30" s="748"/>
      <c r="T30" s="748"/>
    </row>
    <row r="31" spans="1:20" s="320" customFormat="1" ht="18.75">
      <c r="A31" s="318"/>
      <c r="B31" s="742"/>
      <c r="C31" s="742"/>
      <c r="D31" s="742"/>
      <c r="E31" s="742"/>
      <c r="F31" s="742"/>
      <c r="G31" s="319"/>
      <c r="H31" s="319"/>
      <c r="I31" s="319"/>
      <c r="J31" s="319"/>
      <c r="K31" s="319"/>
      <c r="L31" s="743"/>
      <c r="M31" s="743"/>
      <c r="N31" s="743"/>
      <c r="O31" s="743"/>
      <c r="P31" s="743"/>
      <c r="Q31" s="743"/>
      <c r="R31" s="743"/>
      <c r="S31" s="743"/>
      <c r="T31" s="74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67" t="s">
        <v>276</v>
      </c>
      <c r="C33" s="867"/>
      <c r="D33" s="867"/>
      <c r="E33" s="867"/>
      <c r="F33" s="867"/>
      <c r="G33" s="321"/>
      <c r="H33" s="321"/>
      <c r="I33" s="321"/>
      <c r="J33" s="321"/>
      <c r="K33" s="321"/>
      <c r="L33" s="321"/>
      <c r="M33" s="321"/>
      <c r="N33" s="321"/>
      <c r="O33" s="867" t="s">
        <v>276</v>
      </c>
      <c r="P33" s="867"/>
      <c r="Q33" s="867"/>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15" t="s">
        <v>229</v>
      </c>
      <c r="C39" s="615"/>
      <c r="D39" s="615"/>
      <c r="E39" s="615"/>
      <c r="F39" s="615"/>
      <c r="G39" s="615"/>
      <c r="H39" s="182"/>
      <c r="I39" s="182"/>
      <c r="J39" s="182"/>
      <c r="K39" s="182"/>
      <c r="L39" s="616" t="s">
        <v>230</v>
      </c>
      <c r="M39" s="616"/>
      <c r="N39" s="616"/>
      <c r="O39" s="616"/>
      <c r="P39" s="616"/>
      <c r="Q39" s="616"/>
      <c r="R39" s="616"/>
      <c r="S39" s="616"/>
      <c r="T39" s="616"/>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1:D1"/>
    <mergeCell ref="Q9:R9"/>
    <mergeCell ref="M9:M10"/>
    <mergeCell ref="F1:O4"/>
    <mergeCell ref="D7:D10"/>
    <mergeCell ref="C7:C10"/>
    <mergeCell ref="A2:D2"/>
    <mergeCell ref="E8:F8"/>
    <mergeCell ref="L39:T39"/>
    <mergeCell ref="N9:N10"/>
    <mergeCell ref="B39:G39"/>
    <mergeCell ref="A13:B13"/>
    <mergeCell ref="B33:F33"/>
    <mergeCell ref="O33:Q33"/>
    <mergeCell ref="E9:E10"/>
    <mergeCell ref="O9:P9"/>
    <mergeCell ref="L29:T29"/>
    <mergeCell ref="A3:D3"/>
    <mergeCell ref="F9:F10"/>
    <mergeCell ref="F5:O5"/>
    <mergeCell ref="A12:B12"/>
    <mergeCell ref="M7:T7"/>
    <mergeCell ref="G9:H9"/>
    <mergeCell ref="M8:N8"/>
    <mergeCell ref="A4:D4"/>
    <mergeCell ref="B31:F31"/>
    <mergeCell ref="A11:B11"/>
    <mergeCell ref="L31:T31"/>
    <mergeCell ref="E6:T6"/>
    <mergeCell ref="B29:G29"/>
    <mergeCell ref="S9:T9"/>
    <mergeCell ref="A14:B14"/>
    <mergeCell ref="O8:T8"/>
    <mergeCell ref="G8:L8"/>
    <mergeCell ref="L30:T30"/>
    <mergeCell ref="C6:D6"/>
    <mergeCell ref="E7:L7"/>
    <mergeCell ref="B30:G30"/>
    <mergeCell ref="I9:J9"/>
    <mergeCell ref="A6:B10"/>
    <mergeCell ref="K9:L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2017-08-07T22:11:38Z</cp:lastPrinted>
  <dcterms:created xsi:type="dcterms:W3CDTF">2004-03-07T02:36:29Z</dcterms:created>
  <dcterms:modified xsi:type="dcterms:W3CDTF">2017-08-08T03:24:42Z</dcterms:modified>
  <cp:category/>
  <cp:version/>
  <cp:contentType/>
  <cp:contentStatus/>
</cp:coreProperties>
</file>